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hydroshare.bchydro.bc.ca/sites/PSOEQM/OE/Operations Lead/Active Programs/Apartment Solution (MURB)/Innovation and Delivery (Eng)/"/>
    </mc:Choice>
  </mc:AlternateContent>
  <xr:revisionPtr revIDLastSave="0" documentId="13_ncr:1_{0691F24A-EDAB-4BE8-8BC0-BC46C1F421B9}" xr6:coauthVersionLast="47" xr6:coauthVersionMax="47" xr10:uidLastSave="{00000000-0000-0000-0000-000000000000}"/>
  <workbookProtection workbookAlgorithmName="SHA-512" workbookHashValue="gsUd1/h5YeAHd+apWghkRYXyjTMuFX1kMX9qmS/atEy/ZRI2G10HqdDqt1j4STV5zNajwMmfk7PpCmiTiIYM/A==" workbookSaltValue="1jeAi7yK1rQ+FViAGYr5tw==" workbookSpinCount="100000" lockStructure="1"/>
  <bookViews>
    <workbookView xWindow="-165" yWindow="-16365" windowWidth="29130" windowHeight="15930" xr2:uid="{4ACD42E9-932E-4C2C-9C53-A75AE858CC49}"/>
  </bookViews>
  <sheets>
    <sheet name="Userguide" sheetId="16" r:id="rId1"/>
    <sheet name="Project Info" sheetId="9" r:id="rId2"/>
    <sheet name="Lighting" sheetId="3" r:id="rId3"/>
    <sheet name="Mechanical" sheetId="10" r:id="rId4"/>
    <sheet name="Summary" sheetId="15" r:id="rId5"/>
    <sheet name="Electrical Load Analysis" sheetId="18" r:id="rId6"/>
    <sheet name="Study Review" sheetId="22" state="hidden" r:id="rId7"/>
    <sheet name="Schedule B" sheetId="13" state="hidden" r:id="rId8"/>
    <sheet name="Schedule C" sheetId="14" state="hidden" r:id="rId9"/>
    <sheet name="Notes" sheetId="17" state="hidden" r:id="rId10"/>
    <sheet name="NLVar" sheetId="7" state="hidden" r:id="rId11"/>
    <sheet name="NLIndex" sheetId="8" state="hidden" r:id="rId12"/>
    <sheet name="LIndex" sheetId="2" state="hidden" r:id="rId13"/>
    <sheet name="LVar" sheetId="1" state="hidden" r:id="rId14"/>
    <sheet name="xRM" sheetId="11" state="hidden" r:id="rId15"/>
    <sheet name="Identifier" sheetId="6" state="hidden" r:id="rId16"/>
    <sheet name="Authentication" sheetId="21" state="hidden" r:id="rId17"/>
  </sheets>
  <externalReferences>
    <externalReference r:id="rId18"/>
  </externalReferences>
  <definedNames>
    <definedName name="ControlOptions">Table3[Control Options]</definedName>
    <definedName name="End_Use">OFFSET([1]Variable!$A$2,0,0,COUNTA([1]Variable!$A$2:$A$391),1)</definedName>
    <definedName name="MyLSource">OFFSET(MyLSourceList,0,0,COUNTA(MyLSourceList),1)</definedName>
    <definedName name="MyNLSource">OFFSET(MyNLSourceList,0,0,COUNTA(MyNLSourceList),1)</definedName>
    <definedName name="MyNLSourceList">IF(NLTable[[#This Row],[Baseline equipment energy source (or heating source for envelope measures)]]="Electricity",INDEX(NLEEMeasure[],0,MATCH(NLTable[[#This Row],[End-Use]],NLEEMeasure[#Headers],0)),INDEX(NLLCEMeasures[],0,MATCH(NLTable[[#This Row],[End-Use]],NLLCEMeasures[#Headers],0)))</definedName>
    <definedName name="NLeDemand">NLVar!$A$4</definedName>
    <definedName name="NLeRate">NLVar!$A$3</definedName>
    <definedName name="NLgRate">NLVar!$A$5</definedName>
    <definedName name="NLsDemand">NLVar!$B$4</definedName>
    <definedName name="NLsRate">NLVar!$B$3</definedName>
    <definedName name="NLTechnology">IF(NLTable[[#This Row],[Baseline equipment energy source (or heating source for envelope measures)]]="Electricity",NLEEMeasure[#Headers], NLLCEMeasures[#Headers])</definedName>
    <definedName name="_xlnm.Print_Area" localSheetId="16">Authentication!$A$1:$D$23</definedName>
    <definedName name="_xlnm.Print_Area" localSheetId="5">'Electrical Load Analysis'!$A$1:$N$157</definedName>
    <definedName name="_xlnm.Print_Area" localSheetId="2">Lighting!$B$1:$Y$30</definedName>
    <definedName name="_xlnm.Print_Area" localSheetId="12">LIndex!$A$1:$J$37</definedName>
    <definedName name="_xlnm.Print_Area" localSheetId="13">LVar!$A$1:$L$13</definedName>
    <definedName name="_xlnm.Print_Area" localSheetId="3">Mechanical!$B$1:$AU$57</definedName>
    <definedName name="_xlnm.Print_Area" localSheetId="11">NLIndex!$A$1:$V$64</definedName>
    <definedName name="_xlnm.Print_Area" localSheetId="10">NLVar!$A$1:$X$35</definedName>
    <definedName name="_xlnm.Print_Area" localSheetId="9">Notes!$A$1:$AA$49</definedName>
    <definedName name="_xlnm.Print_Area" localSheetId="1">'Project Info'!$A$1:$O$67</definedName>
    <definedName name="_xlnm.Print_Area" localSheetId="7">OFFSET('Schedule B'!$A$1,0,0,COUNT('Schedule B'!$B$61:$B$100)+60,17)</definedName>
    <definedName name="_xlnm.Print_Area" localSheetId="8">'Schedule C'!$A$1:$P$39</definedName>
    <definedName name="_xlnm.Print_Area" localSheetId="14">xRM!$A$1:$L$53</definedName>
    <definedName name="RebateCategory">LIndex!$B$2:$B$37</definedName>
    <definedName name="ScheduleBArea">OFFSET('Schedule B'!$A$1,0,0,COUNT('Schedule B'!$B:$B)+56,17)</definedName>
    <definedName name="Spaces">Table5[Space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9" l="1"/>
  <c r="C74" i="9"/>
  <c r="J2"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H2"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N132" i="9"/>
  <c r="N131" i="9"/>
  <c r="N130" i="9"/>
  <c r="G132" i="9"/>
  <c r="G131" i="9"/>
  <c r="G130" i="9"/>
  <c r="I70" i="13"/>
  <c r="J70" i="13"/>
  <c r="I71" i="13"/>
  <c r="J71" i="13"/>
  <c r="I72" i="13"/>
  <c r="J72" i="13"/>
  <c r="I73" i="13"/>
  <c r="J73" i="13"/>
  <c r="I74" i="13"/>
  <c r="J74" i="13"/>
  <c r="I75" i="13"/>
  <c r="J75" i="13"/>
  <c r="I76" i="13"/>
  <c r="J76" i="13"/>
  <c r="I77" i="13"/>
  <c r="J77" i="13"/>
  <c r="I78" i="13"/>
  <c r="J78" i="13"/>
  <c r="I79" i="13"/>
  <c r="J79" i="13"/>
  <c r="I80" i="13"/>
  <c r="J80" i="13"/>
  <c r="I81" i="13"/>
  <c r="J81" i="13"/>
  <c r="I82" i="13"/>
  <c r="J82" i="13"/>
  <c r="I83" i="13"/>
  <c r="J83" i="13"/>
  <c r="I84" i="13"/>
  <c r="J84" i="13"/>
  <c r="I85" i="13"/>
  <c r="J85" i="13"/>
  <c r="BG53" i="10" a="1"/>
  <c r="BG53" i="10" s="1"/>
  <c r="R53" i="10" l="1"/>
  <c r="R48" i="10"/>
  <c r="R43" i="10"/>
  <c r="R38" i="10"/>
  <c r="R33" i="10"/>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7" i="3"/>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S5" i="7" l="1"/>
  <c r="L4" i="7"/>
  <c r="M4" i="7"/>
  <c r="N4" i="7"/>
  <c r="O4" i="7"/>
  <c r="P4" i="7"/>
  <c r="Q33" i="15" l="1"/>
  <c r="T7" i="3" l="1"/>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J44" i="11" l="1"/>
  <c r="D124" i="9" l="1"/>
  <c r="C81" i="9" l="1"/>
  <c r="BF57" i="10"/>
  <c r="BE57" i="10"/>
  <c r="AV57" i="10"/>
  <c r="G57" i="10"/>
  <c r="E57" i="10"/>
  <c r="D57" i="10"/>
  <c r="BF56" i="10"/>
  <c r="BE56" i="10"/>
  <c r="AV56" i="10"/>
  <c r="AW56" i="10" s="1"/>
  <c r="G56" i="10"/>
  <c r="E56" i="10"/>
  <c r="D56" i="10"/>
  <c r="BF55" i="10"/>
  <c r="BE55" i="10"/>
  <c r="AV55" i="10"/>
  <c r="AY55" i="10" s="1"/>
  <c r="G55" i="10"/>
  <c r="E55" i="10"/>
  <c r="D55" i="10"/>
  <c r="BF54" i="10"/>
  <c r="BE54" i="10"/>
  <c r="AV54" i="10"/>
  <c r="AY54" i="10" s="1"/>
  <c r="G54" i="10"/>
  <c r="E54" i="10"/>
  <c r="D54" i="10"/>
  <c r="AV53" i="10"/>
  <c r="I53" i="10"/>
  <c r="F53" i="10"/>
  <c r="B53" i="10"/>
  <c r="BF52" i="10"/>
  <c r="BE52" i="10"/>
  <c r="AV52" i="10"/>
  <c r="BB52" i="10" s="1"/>
  <c r="G52" i="10"/>
  <c r="E52" i="10"/>
  <c r="D52" i="10"/>
  <c r="BF51" i="10"/>
  <c r="BE51" i="10"/>
  <c r="AV51" i="10"/>
  <c r="G51" i="10"/>
  <c r="E51" i="10"/>
  <c r="D51" i="10"/>
  <c r="BF50" i="10"/>
  <c r="BE50" i="10"/>
  <c r="AV50" i="10"/>
  <c r="BA50" i="10" s="1"/>
  <c r="G50" i="10"/>
  <c r="E50" i="10"/>
  <c r="D50" i="10"/>
  <c r="BF49" i="10"/>
  <c r="BE49" i="10"/>
  <c r="AV49" i="10"/>
  <c r="AX49" i="10" s="1"/>
  <c r="G49" i="10"/>
  <c r="E49" i="10"/>
  <c r="D49" i="10"/>
  <c r="AV48" i="10"/>
  <c r="BG48" i="10" s="1" a="1"/>
  <c r="BG48" i="10" s="1"/>
  <c r="I48" i="10"/>
  <c r="F48" i="10"/>
  <c r="B48" i="10"/>
  <c r="BF47" i="10"/>
  <c r="BE47" i="10"/>
  <c r="AV47" i="10"/>
  <c r="BA47" i="10" s="1"/>
  <c r="G47" i="10"/>
  <c r="E47" i="10"/>
  <c r="D47" i="10"/>
  <c r="BF46" i="10"/>
  <c r="BE46" i="10"/>
  <c r="AV46" i="10"/>
  <c r="AZ46" i="10" s="1"/>
  <c r="G46" i="10"/>
  <c r="E46" i="10"/>
  <c r="D46" i="10"/>
  <c r="BF45" i="10"/>
  <c r="BE45" i="10"/>
  <c r="AV45" i="10"/>
  <c r="AW45" i="10" s="1"/>
  <c r="G45" i="10"/>
  <c r="E45" i="10"/>
  <c r="D45" i="10"/>
  <c r="BF44" i="10"/>
  <c r="BE44" i="10"/>
  <c r="AV44" i="10"/>
  <c r="BD44" i="10" s="1"/>
  <c r="G44" i="10"/>
  <c r="E44" i="10"/>
  <c r="D44" i="10"/>
  <c r="AV43" i="10"/>
  <c r="I43" i="10"/>
  <c r="F43" i="10"/>
  <c r="B43" i="10"/>
  <c r="BF42" i="10"/>
  <c r="BE42" i="10"/>
  <c r="AV42" i="10"/>
  <c r="BD42" i="10" s="1"/>
  <c r="G42" i="10"/>
  <c r="E42" i="10"/>
  <c r="D42" i="10"/>
  <c r="BF41" i="10"/>
  <c r="BE41" i="10"/>
  <c r="AV41" i="10"/>
  <c r="BA41" i="10" s="1"/>
  <c r="G41" i="10"/>
  <c r="E41" i="10"/>
  <c r="D41" i="10"/>
  <c r="BF40" i="10"/>
  <c r="BE40" i="10"/>
  <c r="AV40" i="10"/>
  <c r="BA40" i="10" s="1"/>
  <c r="G40" i="10"/>
  <c r="E40" i="10"/>
  <c r="D40" i="10"/>
  <c r="BF39" i="10"/>
  <c r="BE39" i="10"/>
  <c r="AV39" i="10"/>
  <c r="BB39" i="10" s="1"/>
  <c r="G39" i="10"/>
  <c r="E39" i="10"/>
  <c r="D39" i="10"/>
  <c r="AV38" i="10"/>
  <c r="BG38" i="10" s="1" a="1"/>
  <c r="BG38" i="10" s="1"/>
  <c r="I38" i="10"/>
  <c r="F38" i="10"/>
  <c r="B38" i="10"/>
  <c r="BF37" i="10"/>
  <c r="BE37" i="10"/>
  <c r="AV37" i="10"/>
  <c r="G37" i="10"/>
  <c r="E37" i="10"/>
  <c r="D37" i="10"/>
  <c r="BF36" i="10"/>
  <c r="BE36" i="10"/>
  <c r="AV36" i="10"/>
  <c r="G36" i="10"/>
  <c r="E36" i="10"/>
  <c r="D36" i="10"/>
  <c r="BF35" i="10"/>
  <c r="BE35" i="10"/>
  <c r="AV35" i="10"/>
  <c r="BA35" i="10" s="1"/>
  <c r="G35" i="10"/>
  <c r="E35" i="10"/>
  <c r="D35" i="10"/>
  <c r="BF34" i="10"/>
  <c r="BE34" i="10"/>
  <c r="AV34" i="10"/>
  <c r="AX34" i="10" s="1"/>
  <c r="G34" i="10"/>
  <c r="E34" i="10"/>
  <c r="D34" i="10"/>
  <c r="AV33" i="10"/>
  <c r="I33" i="10"/>
  <c r="F33" i="10"/>
  <c r="B33" i="10"/>
  <c r="BF32" i="10"/>
  <c r="BE32" i="10"/>
  <c r="AV32" i="10"/>
  <c r="G32" i="10"/>
  <c r="E32" i="10"/>
  <c r="D32" i="10"/>
  <c r="BF31" i="10"/>
  <c r="BE31" i="10"/>
  <c r="AV31" i="10"/>
  <c r="G31" i="10"/>
  <c r="E31" i="10"/>
  <c r="D31" i="10"/>
  <c r="BF30" i="10"/>
  <c r="BE30" i="10"/>
  <c r="AV30" i="10"/>
  <c r="BA30" i="10" s="1"/>
  <c r="G30" i="10"/>
  <c r="E30" i="10"/>
  <c r="D30" i="10"/>
  <c r="BF29" i="10"/>
  <c r="BE29" i="10"/>
  <c r="AV29" i="10"/>
  <c r="AX29" i="10" s="1"/>
  <c r="G29" i="10"/>
  <c r="E29" i="10"/>
  <c r="D29" i="10"/>
  <c r="AV28" i="10"/>
  <c r="BG28" i="10" s="1" a="1"/>
  <c r="BG28" i="10" s="1"/>
  <c r="I28" i="10"/>
  <c r="F28" i="10"/>
  <c r="B28" i="10"/>
  <c r="BF27" i="10"/>
  <c r="BE27" i="10"/>
  <c r="AV27" i="10"/>
  <c r="BB27" i="10" s="1"/>
  <c r="G27" i="10"/>
  <c r="E27" i="10"/>
  <c r="D27" i="10"/>
  <c r="BF26" i="10"/>
  <c r="BE26" i="10"/>
  <c r="AV26" i="10"/>
  <c r="AY26" i="10" s="1"/>
  <c r="G26" i="10"/>
  <c r="E26" i="10"/>
  <c r="D26" i="10"/>
  <c r="BF25" i="10"/>
  <c r="BE25" i="10"/>
  <c r="AV25" i="10"/>
  <c r="BB25" i="10" s="1"/>
  <c r="G25" i="10"/>
  <c r="E25" i="10"/>
  <c r="D25" i="10"/>
  <c r="BF24" i="10"/>
  <c r="BE24" i="10"/>
  <c r="AV24" i="10"/>
  <c r="BD24" i="10" s="1"/>
  <c r="G24" i="10"/>
  <c r="E24" i="10"/>
  <c r="D24" i="10"/>
  <c r="BF23" i="10"/>
  <c r="BE23" i="10" s="1"/>
  <c r="AV23" i="10"/>
  <c r="BG23" i="10" s="1" a="1"/>
  <c r="BG23" i="10" s="1"/>
  <c r="I23" i="10"/>
  <c r="F23" i="10"/>
  <c r="B23" i="10"/>
  <c r="BF22" i="10"/>
  <c r="BE22" i="10"/>
  <c r="AV22" i="10"/>
  <c r="BD22" i="10" s="1"/>
  <c r="G22" i="10"/>
  <c r="E22" i="10"/>
  <c r="D22" i="10"/>
  <c r="BF21" i="10"/>
  <c r="BE21" i="10"/>
  <c r="AV21" i="10"/>
  <c r="BB21" i="10" s="1"/>
  <c r="G21" i="10"/>
  <c r="E21" i="10"/>
  <c r="D21" i="10"/>
  <c r="BF20" i="10"/>
  <c r="BE20" i="10"/>
  <c r="AV20" i="10"/>
  <c r="BA20" i="10" s="1"/>
  <c r="G20" i="10"/>
  <c r="E20" i="10"/>
  <c r="D20" i="10"/>
  <c r="BF19" i="10"/>
  <c r="BE19" i="10"/>
  <c r="AV19" i="10"/>
  <c r="BA19" i="10" s="1"/>
  <c r="G19" i="10"/>
  <c r="E19" i="10"/>
  <c r="D19" i="10"/>
  <c r="AV18" i="10"/>
  <c r="BG18" i="10" s="1" a="1"/>
  <c r="BG18" i="10" s="1"/>
  <c r="I18" i="10"/>
  <c r="F18" i="10"/>
  <c r="B18" i="10"/>
  <c r="BF17" i="10"/>
  <c r="BE17" i="10"/>
  <c r="AV17" i="10"/>
  <c r="AZ17" i="10" s="1"/>
  <c r="G17" i="10"/>
  <c r="E17" i="10"/>
  <c r="D17" i="10"/>
  <c r="BF16" i="10"/>
  <c r="BE16" i="10"/>
  <c r="AV16" i="10"/>
  <c r="AW16" i="10" s="1"/>
  <c r="G16" i="10"/>
  <c r="E16" i="10"/>
  <c r="D16" i="10"/>
  <c r="BF15" i="10"/>
  <c r="BE15" i="10"/>
  <c r="AV15" i="10"/>
  <c r="BA15" i="10" s="1"/>
  <c r="G15" i="10"/>
  <c r="E15" i="10"/>
  <c r="D15" i="10"/>
  <c r="BF14" i="10"/>
  <c r="BE14" i="10"/>
  <c r="AV14" i="10"/>
  <c r="AX14" i="10" s="1"/>
  <c r="G14" i="10"/>
  <c r="E14" i="10"/>
  <c r="D14" i="10"/>
  <c r="AV13" i="10"/>
  <c r="BG13" i="10" s="1" a="1"/>
  <c r="BG13" i="10" s="1"/>
  <c r="I13" i="10"/>
  <c r="F13" i="10"/>
  <c r="B13" i="10"/>
  <c r="F50" i="10" l="1"/>
  <c r="S48" i="10"/>
  <c r="I51" i="10"/>
  <c r="U48" i="10"/>
  <c r="T48" i="10"/>
  <c r="P48" i="10"/>
  <c r="AF43" i="10"/>
  <c r="T43" i="10"/>
  <c r="P43" i="10"/>
  <c r="U43" i="10"/>
  <c r="F47" i="10"/>
  <c r="S43" i="10"/>
  <c r="I41" i="10"/>
  <c r="N41" i="10" s="1"/>
  <c r="P38" i="10"/>
  <c r="U38" i="10"/>
  <c r="Q38" i="10"/>
  <c r="F40" i="10"/>
  <c r="S38" i="10"/>
  <c r="I36" i="10"/>
  <c r="U33" i="10"/>
  <c r="Q33" i="10"/>
  <c r="P33" i="10"/>
  <c r="F35" i="10"/>
  <c r="S33" i="10"/>
  <c r="U28" i="10"/>
  <c r="T28" i="10"/>
  <c r="Q28" i="10"/>
  <c r="P28" i="10"/>
  <c r="F30" i="10"/>
  <c r="S28" i="10"/>
  <c r="AE23" i="10"/>
  <c r="T23" i="10"/>
  <c r="Q23" i="10"/>
  <c r="P23" i="10"/>
  <c r="U23" i="10"/>
  <c r="F26" i="10"/>
  <c r="S23" i="10"/>
  <c r="P18" i="10"/>
  <c r="Q18" i="10"/>
  <c r="U18" i="10"/>
  <c r="T18" i="10"/>
  <c r="F20" i="10"/>
  <c r="S18" i="10"/>
  <c r="I16" i="10"/>
  <c r="L16" i="10" s="1"/>
  <c r="T13" i="10"/>
  <c r="Q13" i="10"/>
  <c r="P13" i="10"/>
  <c r="U13" i="10"/>
  <c r="F15" i="10"/>
  <c r="S13" i="10"/>
  <c r="AC53" i="10"/>
  <c r="U53" i="10"/>
  <c r="T53" i="10"/>
  <c r="P53" i="10"/>
  <c r="F56" i="10"/>
  <c r="S53" i="10"/>
  <c r="BA25" i="10"/>
  <c r="BD25" i="10"/>
  <c r="AY25" i="10"/>
  <c r="AZ19" i="10"/>
  <c r="BB19" i="10"/>
  <c r="BD19" i="10"/>
  <c r="AW25" i="10"/>
  <c r="AZ25" i="10"/>
  <c r="AX25" i="10"/>
  <c r="AZ45" i="10"/>
  <c r="BA45" i="10"/>
  <c r="AY29" i="10"/>
  <c r="AZ27" i="10"/>
  <c r="BB51" i="10"/>
  <c r="BD51" i="10"/>
  <c r="BB46" i="10"/>
  <c r="AZ52" i="10"/>
  <c r="AZ26" i="10"/>
  <c r="AW36" i="10"/>
  <c r="BD56" i="10"/>
  <c r="I31" i="10"/>
  <c r="L31" i="10" s="1"/>
  <c r="AY36" i="10"/>
  <c r="AZ22" i="10"/>
  <c r="BB36" i="10"/>
  <c r="AX19" i="10"/>
  <c r="BA22" i="10"/>
  <c r="BB22" i="10"/>
  <c r="AY39" i="10"/>
  <c r="BD46" i="10"/>
  <c r="AX45" i="10"/>
  <c r="AY45" i="10"/>
  <c r="BD50" i="10"/>
  <c r="AX16" i="10"/>
  <c r="AW30" i="10"/>
  <c r="AW31" i="10"/>
  <c r="I54" i="10"/>
  <c r="N54" i="10" s="1"/>
  <c r="AX21" i="10"/>
  <c r="AX30" i="10"/>
  <c r="AX31" i="10"/>
  <c r="BD36" i="10"/>
  <c r="AW21" i="10"/>
  <c r="AY16" i="10"/>
  <c r="BD16" i="10"/>
  <c r="AY21" i="10"/>
  <c r="AY30" i="10"/>
  <c r="AZ31" i="10"/>
  <c r="AY56" i="10"/>
  <c r="BD21" i="10"/>
  <c r="BB30" i="10"/>
  <c r="BA31" i="10"/>
  <c r="V53" i="10"/>
  <c r="AZ56" i="10"/>
  <c r="BB31" i="10"/>
  <c r="BA49" i="10"/>
  <c r="W53" i="10"/>
  <c r="BA56" i="10"/>
  <c r="BD27" i="10"/>
  <c r="AZ29" i="10"/>
  <c r="BD30" i="10"/>
  <c r="BD31" i="10"/>
  <c r="BD52" i="10"/>
  <c r="AE53" i="10"/>
  <c r="BB56" i="10"/>
  <c r="AY46" i="10"/>
  <c r="BA51" i="10"/>
  <c r="AF53" i="10"/>
  <c r="AX39" i="10"/>
  <c r="I57" i="10"/>
  <c r="AW26" i="10"/>
  <c r="AZ39" i="10"/>
  <c r="W48" i="10"/>
  <c r="BD14" i="10"/>
  <c r="AX26" i="10"/>
  <c r="F49" i="10"/>
  <c r="BD39" i="10"/>
  <c r="H48" i="10"/>
  <c r="H52" i="10" s="1"/>
  <c r="BC52" i="10" s="1"/>
  <c r="AC48" i="10"/>
  <c r="I50" i="10"/>
  <c r="AD53" i="10"/>
  <c r="BA57" i="10"/>
  <c r="AW24" i="10"/>
  <c r="AY35" i="10"/>
  <c r="AD48" i="10"/>
  <c r="BB57" i="10"/>
  <c r="BA26" i="10"/>
  <c r="AZ16" i="10"/>
  <c r="BB17" i="10"/>
  <c r="AZ21" i="10"/>
  <c r="BB26" i="10"/>
  <c r="AX41" i="10"/>
  <c r="AF48" i="10"/>
  <c r="I49" i="10"/>
  <c r="F51" i="10"/>
  <c r="BD57" i="10"/>
  <c r="BA16" i="10"/>
  <c r="AW19" i="10"/>
  <c r="AY41" i="10"/>
  <c r="L48" i="10"/>
  <c r="AG48" i="10"/>
  <c r="AW50" i="10"/>
  <c r="F52" i="10"/>
  <c r="AG53" i="10"/>
  <c r="AW54" i="10"/>
  <c r="BA17" i="10"/>
  <c r="BB16" i="10"/>
  <c r="BD26" i="10"/>
  <c r="AZ41" i="10"/>
  <c r="N48" i="10"/>
  <c r="AH48" i="10"/>
  <c r="AX50" i="10"/>
  <c r="AH53" i="10"/>
  <c r="BD17" i="10"/>
  <c r="AY19" i="10"/>
  <c r="BB41" i="10"/>
  <c r="BB47" i="10"/>
  <c r="AK48" i="10"/>
  <c r="AY50" i="10"/>
  <c r="AW51" i="10"/>
  <c r="I52" i="10"/>
  <c r="N52" i="10" s="1"/>
  <c r="AK53" i="10"/>
  <c r="BD54" i="10"/>
  <c r="I56" i="10"/>
  <c r="L56" i="10" s="1"/>
  <c r="AZ50" i="10"/>
  <c r="AX51" i="10"/>
  <c r="AL53" i="10"/>
  <c r="F57" i="10"/>
  <c r="BD37" i="10"/>
  <c r="AW39" i="10"/>
  <c r="BB40" i="10"/>
  <c r="BD41" i="10"/>
  <c r="BA46" i="10"/>
  <c r="BD47" i="10"/>
  <c r="BB50" i="10"/>
  <c r="AZ51" i="10"/>
  <c r="AX52" i="10"/>
  <c r="AX56" i="10"/>
  <c r="V43" i="10"/>
  <c r="W43" i="10"/>
  <c r="AE43" i="10"/>
  <c r="AG43" i="10"/>
  <c r="AH43" i="10"/>
  <c r="I46" i="10"/>
  <c r="N46" i="10" s="1"/>
  <c r="I47" i="10"/>
  <c r="L47" i="10" s="1"/>
  <c r="AK43" i="10"/>
  <c r="AL43" i="10"/>
  <c r="F46" i="10"/>
  <c r="AK38" i="10"/>
  <c r="I39" i="10"/>
  <c r="N39" i="10" s="1"/>
  <c r="AE38" i="10"/>
  <c r="W38" i="10"/>
  <c r="H38" i="10"/>
  <c r="H41" i="10" s="1"/>
  <c r="AD38" i="10"/>
  <c r="AE33" i="10"/>
  <c r="I35" i="10"/>
  <c r="N35" i="10" s="1"/>
  <c r="AK33" i="10"/>
  <c r="N33" i="10"/>
  <c r="W33" i="10"/>
  <c r="Y33" i="10"/>
  <c r="AC33" i="10"/>
  <c r="F34" i="10"/>
  <c r="H33" i="10"/>
  <c r="H35" i="10" s="1"/>
  <c r="I32" i="10"/>
  <c r="N32" i="10" s="1"/>
  <c r="I29" i="10"/>
  <c r="W28" i="10"/>
  <c r="AF28" i="10"/>
  <c r="AG28" i="10"/>
  <c r="AD28" i="10"/>
  <c r="F32" i="10"/>
  <c r="H28" i="10"/>
  <c r="R28" i="10" s="1"/>
  <c r="F29" i="10"/>
  <c r="F31" i="10"/>
  <c r="N23" i="10"/>
  <c r="AL23" i="10"/>
  <c r="AK23" i="10"/>
  <c r="V23" i="10"/>
  <c r="I25" i="10"/>
  <c r="W23" i="10"/>
  <c r="Y23" i="10"/>
  <c r="I24" i="10"/>
  <c r="I26" i="10"/>
  <c r="N26" i="10" s="1"/>
  <c r="AF23" i="10"/>
  <c r="AG23" i="10"/>
  <c r="AH23" i="10"/>
  <c r="I27" i="10"/>
  <c r="F16" i="10"/>
  <c r="I17" i="10"/>
  <c r="N17" i="10" s="1"/>
  <c r="AH13" i="10"/>
  <c r="AK13" i="10"/>
  <c r="I14" i="10"/>
  <c r="N14" i="10" s="1"/>
  <c r="AE13" i="10"/>
  <c r="AG13" i="10"/>
  <c r="AF13" i="10"/>
  <c r="H13" i="10"/>
  <c r="BF13" i="10" s="1"/>
  <c r="BE13" i="10" s="1"/>
  <c r="F17" i="10"/>
  <c r="AD13" i="10"/>
  <c r="F19" i="10"/>
  <c r="V18" i="10"/>
  <c r="W18" i="10"/>
  <c r="I21" i="10"/>
  <c r="Y18" i="10"/>
  <c r="AF18" i="10"/>
  <c r="I19" i="10"/>
  <c r="N19" i="10" s="1"/>
  <c r="AE18" i="10"/>
  <c r="I20" i="10"/>
  <c r="N18" i="10"/>
  <c r="AL18" i="10"/>
  <c r="AK18" i="10"/>
  <c r="F22" i="10"/>
  <c r="AZ55" i="10"/>
  <c r="AX54" i="10"/>
  <c r="F55" i="10"/>
  <c r="BA55" i="10"/>
  <c r="H53" i="10"/>
  <c r="BF53" i="10" s="1"/>
  <c r="BE53" i="10" s="1"/>
  <c r="AZ54" i="10"/>
  <c r="AW57" i="10"/>
  <c r="Y53" i="10"/>
  <c r="F54" i="10"/>
  <c r="BA54" i="10"/>
  <c r="I55" i="10"/>
  <c r="AX57" i="10"/>
  <c r="L53" i="10"/>
  <c r="AB53" i="10"/>
  <c r="BB54" i="10"/>
  <c r="BD55" i="10"/>
  <c r="AY57" i="10"/>
  <c r="BB55" i="10"/>
  <c r="X53" i="10"/>
  <c r="N53" i="10"/>
  <c r="AZ57" i="10"/>
  <c r="AW55" i="10"/>
  <c r="AX55" i="10"/>
  <c r="N51" i="10"/>
  <c r="L51" i="10"/>
  <c r="AY49" i="10"/>
  <c r="X48" i="10"/>
  <c r="AZ49" i="10"/>
  <c r="AW52" i="10"/>
  <c r="AB48" i="10"/>
  <c r="BB49" i="10"/>
  <c r="AY52" i="10"/>
  <c r="BA52" i="10"/>
  <c r="AE48" i="10"/>
  <c r="BD49" i="10"/>
  <c r="AY51" i="10"/>
  <c r="AW49" i="10"/>
  <c r="V48" i="10"/>
  <c r="AL48" i="10"/>
  <c r="H43" i="10"/>
  <c r="BF43" i="10" s="1"/>
  <c r="BE43" i="10" s="1"/>
  <c r="X43" i="10"/>
  <c r="AZ44" i="10"/>
  <c r="AW47" i="10"/>
  <c r="F44" i="10"/>
  <c r="BA44" i="10"/>
  <c r="I45" i="10"/>
  <c r="AX47" i="10"/>
  <c r="L43" i="10"/>
  <c r="AB43" i="10"/>
  <c r="BB44" i="10"/>
  <c r="BD45" i="10"/>
  <c r="AY47" i="10"/>
  <c r="AW44" i="10"/>
  <c r="AX44" i="10"/>
  <c r="AY44" i="10"/>
  <c r="BB45" i="10"/>
  <c r="N43" i="10"/>
  <c r="AC43" i="10"/>
  <c r="AW46" i="10"/>
  <c r="AZ47" i="10"/>
  <c r="F45" i="10"/>
  <c r="AD43" i="10"/>
  <c r="I44" i="10"/>
  <c r="AX46" i="10"/>
  <c r="Y38" i="10"/>
  <c r="F39" i="10"/>
  <c r="BA39" i="10"/>
  <c r="I40" i="10"/>
  <c r="AX42" i="10"/>
  <c r="X38" i="10"/>
  <c r="AW42" i="10"/>
  <c r="L38" i="10"/>
  <c r="BD40" i="10"/>
  <c r="AY42" i="10"/>
  <c r="N38" i="10"/>
  <c r="AW41" i="10"/>
  <c r="AZ42" i="10"/>
  <c r="F42" i="10"/>
  <c r="BA42" i="10"/>
  <c r="BB42" i="10"/>
  <c r="AG38" i="10"/>
  <c r="AX40" i="10"/>
  <c r="F41" i="10"/>
  <c r="I42" i="10"/>
  <c r="AF38" i="10"/>
  <c r="AW40" i="10"/>
  <c r="AY40" i="10"/>
  <c r="AZ40" i="10"/>
  <c r="V38" i="10"/>
  <c r="AL38" i="10"/>
  <c r="N36" i="10"/>
  <c r="L36" i="10"/>
  <c r="AY34" i="10"/>
  <c r="BB35" i="10"/>
  <c r="X33" i="10"/>
  <c r="AZ34" i="10"/>
  <c r="AW37" i="10"/>
  <c r="BA34" i="10"/>
  <c r="AX37" i="10"/>
  <c r="L33" i="10"/>
  <c r="AB33" i="10"/>
  <c r="BB34" i="10"/>
  <c r="BD35" i="10"/>
  <c r="AY37" i="10"/>
  <c r="AZ37" i="10"/>
  <c r="AD33" i="10"/>
  <c r="I34" i="10"/>
  <c r="AX36" i="10"/>
  <c r="F37" i="10"/>
  <c r="BA37" i="10"/>
  <c r="AF33" i="10"/>
  <c r="AW35" i="10"/>
  <c r="AZ36" i="10"/>
  <c r="BD34" i="10"/>
  <c r="BB37" i="10"/>
  <c r="AG33" i="10"/>
  <c r="AX35" i="10"/>
  <c r="F36" i="10"/>
  <c r="BA36" i="10"/>
  <c r="I37" i="10"/>
  <c r="AW34" i="10"/>
  <c r="AZ35" i="10"/>
  <c r="V33" i="10"/>
  <c r="AL33" i="10"/>
  <c r="BA29" i="10"/>
  <c r="I30" i="10"/>
  <c r="AX32" i="10"/>
  <c r="X28" i="10"/>
  <c r="AW32" i="10"/>
  <c r="Y28" i="10"/>
  <c r="L28" i="10"/>
  <c r="BB29" i="10"/>
  <c r="AY32" i="10"/>
  <c r="N28" i="10"/>
  <c r="AZ32" i="10"/>
  <c r="BA32" i="10"/>
  <c r="AE28" i="10"/>
  <c r="BD29" i="10"/>
  <c r="AY31" i="10"/>
  <c r="BB32" i="10"/>
  <c r="BD32" i="10"/>
  <c r="AK28" i="10"/>
  <c r="AW29" i="10"/>
  <c r="AZ30" i="10"/>
  <c r="AH28" i="10"/>
  <c r="V28" i="10"/>
  <c r="AL28" i="10"/>
  <c r="H23" i="10"/>
  <c r="R23" i="10" s="1"/>
  <c r="AY24" i="10"/>
  <c r="X23" i="10"/>
  <c r="AZ24" i="10"/>
  <c r="AW27" i="10"/>
  <c r="AX24" i="10"/>
  <c r="F25" i="10"/>
  <c r="F24" i="10"/>
  <c r="BA24" i="10"/>
  <c r="AX27" i="10"/>
  <c r="L23" i="10"/>
  <c r="BB24" i="10"/>
  <c r="AY27" i="10"/>
  <c r="F27" i="10"/>
  <c r="BA27" i="10"/>
  <c r="H18" i="10"/>
  <c r="BF18" i="10" s="1"/>
  <c r="BE18" i="10" s="1"/>
  <c r="BB20" i="10"/>
  <c r="X18" i="10"/>
  <c r="AW22" i="10"/>
  <c r="AX22" i="10"/>
  <c r="L18" i="10"/>
  <c r="BD20" i="10"/>
  <c r="AY22" i="10"/>
  <c r="AW20" i="10"/>
  <c r="AG18" i="10"/>
  <c r="AX20" i="10"/>
  <c r="F21" i="10"/>
  <c r="BA21" i="10"/>
  <c r="I22" i="10"/>
  <c r="AY20" i="10"/>
  <c r="AZ20" i="10"/>
  <c r="N16" i="10"/>
  <c r="AX15" i="10"/>
  <c r="AY15" i="10"/>
  <c r="AW17" i="10"/>
  <c r="Y13" i="10"/>
  <c r="F14" i="10"/>
  <c r="BA14" i="10"/>
  <c r="I15" i="10"/>
  <c r="AX17" i="10"/>
  <c r="AW15" i="10"/>
  <c r="AY14" i="10"/>
  <c r="L13" i="10"/>
  <c r="BB14" i="10"/>
  <c r="BD15" i="10"/>
  <c r="AY17" i="10"/>
  <c r="BB15" i="10"/>
  <c r="AZ14" i="10"/>
  <c r="N13" i="10"/>
  <c r="AW14" i="10"/>
  <c r="AZ15" i="10"/>
  <c r="AL13" i="10"/>
  <c r="Q48" i="10" l="1"/>
  <c r="BF48" i="10"/>
  <c r="BE48" i="10" s="1"/>
  <c r="Q43" i="10"/>
  <c r="L41" i="10"/>
  <c r="R18" i="10"/>
  <c r="R13" i="10"/>
  <c r="Q53" i="10"/>
  <c r="AC38" i="10"/>
  <c r="AP38" i="10" s="1"/>
  <c r="AY38" i="10" s="1"/>
  <c r="AB38" i="10"/>
  <c r="N31" i="10"/>
  <c r="L52" i="10"/>
  <c r="AP53" i="10"/>
  <c r="AY53" i="10" s="1"/>
  <c r="H50" i="10"/>
  <c r="BC50" i="10" s="1"/>
  <c r="N56" i="10"/>
  <c r="L54" i="10"/>
  <c r="BC41" i="10"/>
  <c r="L46" i="10"/>
  <c r="L39" i="10"/>
  <c r="L32" i="10"/>
  <c r="L17" i="10"/>
  <c r="N47" i="10"/>
  <c r="AQ48" i="10"/>
  <c r="AZ48" i="10" s="1"/>
  <c r="AQ28" i="10"/>
  <c r="AS28" i="10" s="1"/>
  <c r="BB28" i="10" s="1"/>
  <c r="BC28" i="10" s="1"/>
  <c r="AQ53" i="10"/>
  <c r="AS53" i="10" s="1"/>
  <c r="BB53" i="10" s="1"/>
  <c r="BC53" i="10" s="1"/>
  <c r="AP48" i="10"/>
  <c r="AY48" i="10" s="1"/>
  <c r="N49" i="10"/>
  <c r="L49" i="10"/>
  <c r="N50" i="10"/>
  <c r="L50" i="10"/>
  <c r="H51" i="10"/>
  <c r="BC51" i="10" s="1"/>
  <c r="J48" i="10"/>
  <c r="H49" i="10"/>
  <c r="BC49" i="10" s="1"/>
  <c r="N57" i="10"/>
  <c r="L57" i="10"/>
  <c r="J28" i="10"/>
  <c r="J32" i="10" s="1"/>
  <c r="AH38" i="10"/>
  <c r="AP43" i="10"/>
  <c r="AY43" i="10" s="1"/>
  <c r="H42" i="10"/>
  <c r="BC42" i="10" s="1"/>
  <c r="H39" i="10"/>
  <c r="BC39" i="10" s="1"/>
  <c r="H40" i="10"/>
  <c r="BC40" i="10" s="1"/>
  <c r="J38" i="10"/>
  <c r="T38" i="10" s="1"/>
  <c r="BF38" i="10"/>
  <c r="BE38" i="10" s="1"/>
  <c r="AP33" i="10"/>
  <c r="AY33" i="10" s="1"/>
  <c r="AH33" i="10"/>
  <c r="AO33" i="10" s="1"/>
  <c r="AX33" i="10" s="1"/>
  <c r="H37" i="10"/>
  <c r="BC37" i="10" s="1"/>
  <c r="H34" i="10"/>
  <c r="BC34" i="10" s="1"/>
  <c r="L35" i="10"/>
  <c r="H36" i="10"/>
  <c r="BC36" i="10" s="1"/>
  <c r="J33" i="10"/>
  <c r="T33" i="10" s="1"/>
  <c r="BC35" i="10"/>
  <c r="BF33" i="10"/>
  <c r="BE33" i="10" s="1"/>
  <c r="N29" i="10"/>
  <c r="L29" i="10"/>
  <c r="H31" i="10"/>
  <c r="BC31" i="10" s="1"/>
  <c r="H32" i="10"/>
  <c r="BC32" i="10" s="1"/>
  <c r="H29" i="10"/>
  <c r="BC29" i="10" s="1"/>
  <c r="H30" i="10"/>
  <c r="BC30" i="10" s="1"/>
  <c r="BF28" i="10"/>
  <c r="BE28" i="10" s="1"/>
  <c r="L26" i="10"/>
  <c r="N25" i="10"/>
  <c r="L25" i="10"/>
  <c r="N24" i="10"/>
  <c r="L24" i="10"/>
  <c r="N27" i="10"/>
  <c r="L27" i="10"/>
  <c r="J13" i="10"/>
  <c r="L14" i="10"/>
  <c r="H14" i="10"/>
  <c r="BC14" i="10" s="1"/>
  <c r="H15" i="10"/>
  <c r="BC15" i="10" s="1"/>
  <c r="H16" i="10"/>
  <c r="BC16" i="10" s="1"/>
  <c r="H17" i="10"/>
  <c r="BC17" i="10" s="1"/>
  <c r="AQ38" i="10"/>
  <c r="AS38" i="10" s="1"/>
  <c r="BB38" i="10" s="1"/>
  <c r="BC38" i="10" s="1"/>
  <c r="AO53" i="10"/>
  <c r="AH18" i="10"/>
  <c r="L19" i="10"/>
  <c r="L21" i="10"/>
  <c r="N21" i="10"/>
  <c r="N20" i="10"/>
  <c r="L20" i="10"/>
  <c r="N55" i="10"/>
  <c r="L55" i="10"/>
  <c r="H57" i="10"/>
  <c r="BC57" i="10" s="1"/>
  <c r="H54" i="10"/>
  <c r="BC54" i="10" s="1"/>
  <c r="H56" i="10"/>
  <c r="BC56" i="10" s="1"/>
  <c r="J53" i="10"/>
  <c r="H55" i="10"/>
  <c r="BC55" i="10" s="1"/>
  <c r="L44" i="10"/>
  <c r="N44" i="10"/>
  <c r="AQ43" i="10"/>
  <c r="H47" i="10"/>
  <c r="BC47" i="10" s="1"/>
  <c r="H44" i="10"/>
  <c r="BC44" i="10" s="1"/>
  <c r="H46" i="10"/>
  <c r="BC46" i="10" s="1"/>
  <c r="J43" i="10"/>
  <c r="H45" i="10"/>
  <c r="BC45" i="10" s="1"/>
  <c r="N45" i="10"/>
  <c r="L45" i="10"/>
  <c r="N40" i="10"/>
  <c r="L40" i="10"/>
  <c r="N42" i="10"/>
  <c r="L42" i="10"/>
  <c r="N37" i="10"/>
  <c r="L37" i="10"/>
  <c r="AQ33" i="10"/>
  <c r="N34" i="10"/>
  <c r="BG33" i="10" s="1" a="1"/>
  <c r="BG33" i="10" s="1"/>
  <c r="L34" i="10"/>
  <c r="N30" i="10"/>
  <c r="L30" i="10"/>
  <c r="H27" i="10"/>
  <c r="BC27" i="10" s="1"/>
  <c r="H24" i="10"/>
  <c r="BC24" i="10" s="1"/>
  <c r="J23" i="10"/>
  <c r="H26" i="10"/>
  <c r="BC26" i="10" s="1"/>
  <c r="H25" i="10"/>
  <c r="BC25" i="10" s="1"/>
  <c r="N22" i="10"/>
  <c r="L22" i="10"/>
  <c r="H21" i="10"/>
  <c r="BC21" i="10" s="1"/>
  <c r="H22" i="10"/>
  <c r="BC22" i="10" s="1"/>
  <c r="H19" i="10"/>
  <c r="BC19" i="10" s="1"/>
  <c r="J18" i="10"/>
  <c r="H20" i="10"/>
  <c r="BC20" i="10" s="1"/>
  <c r="L15" i="10"/>
  <c r="N15" i="10"/>
  <c r="AT13" i="10" s="1" a="1"/>
  <c r="AT13" i="10" s="1"/>
  <c r="BG43" i="10" l="1" a="1"/>
  <c r="BG43" i="10" s="1"/>
  <c r="AO38" i="10"/>
  <c r="AX38" i="10" s="1"/>
  <c r="AT33" i="10" a="1"/>
  <c r="AT33" i="10" s="1"/>
  <c r="AT48" i="10" a="1"/>
  <c r="AT48" i="10" s="1"/>
  <c r="AT28" i="10" a="1"/>
  <c r="AT28" i="10" s="1"/>
  <c r="BD28" i="10" s="1"/>
  <c r="AT23" i="10" a="1"/>
  <c r="AT23" i="10" s="1"/>
  <c r="BD23" i="10" s="1"/>
  <c r="AT53" i="10" a="1"/>
  <c r="AT53" i="10" s="1"/>
  <c r="BD53" i="10" s="1"/>
  <c r="AT18" i="10" a="1"/>
  <c r="AT18" i="10" s="1"/>
  <c r="AN18" i="10" s="1"/>
  <c r="AT38" i="10" a="1"/>
  <c r="AT38" i="10" s="1"/>
  <c r="BD38" i="10" s="1"/>
  <c r="AT43" i="10" a="1"/>
  <c r="AT43" i="10" s="1"/>
  <c r="BD43" i="10" s="1"/>
  <c r="J31" i="10"/>
  <c r="J30" i="10"/>
  <c r="J29" i="10"/>
  <c r="AS48" i="10"/>
  <c r="BB48" i="10" s="1"/>
  <c r="BC48" i="10" s="1"/>
  <c r="AZ28" i="10"/>
  <c r="AZ53" i="10"/>
  <c r="J52" i="10"/>
  <c r="J51" i="10"/>
  <c r="J49" i="10"/>
  <c r="J50" i="10"/>
  <c r="J41" i="10"/>
  <c r="J40" i="10"/>
  <c r="J39" i="10"/>
  <c r="J42" i="10"/>
  <c r="J37" i="10"/>
  <c r="J35" i="10"/>
  <c r="J36" i="10"/>
  <c r="J34" i="10"/>
  <c r="J16" i="10"/>
  <c r="J14" i="10"/>
  <c r="J15" i="10"/>
  <c r="J17" i="10"/>
  <c r="AX53" i="10"/>
  <c r="AZ38" i="10"/>
  <c r="J57" i="10"/>
  <c r="J54" i="10"/>
  <c r="J56" i="10"/>
  <c r="J55" i="10"/>
  <c r="J44" i="10"/>
  <c r="J45" i="10"/>
  <c r="J46" i="10"/>
  <c r="J47" i="10"/>
  <c r="AS43" i="10"/>
  <c r="BB43" i="10" s="1"/>
  <c r="BC43" i="10" s="1"/>
  <c r="AZ43" i="10"/>
  <c r="AS33" i="10"/>
  <c r="BB33" i="10" s="1"/>
  <c r="BC33" i="10" s="1"/>
  <c r="AZ33" i="10"/>
  <c r="J27" i="10"/>
  <c r="J24" i="10"/>
  <c r="J25" i="10"/>
  <c r="J26" i="10"/>
  <c r="J22" i="10"/>
  <c r="J19" i="10"/>
  <c r="J20" i="10"/>
  <c r="J21" i="10"/>
  <c r="BD13" i="10"/>
  <c r="AN13" i="10"/>
  <c r="AW18" i="10" l="1"/>
  <c r="AW13" i="10"/>
  <c r="AN53" i="10"/>
  <c r="AN43" i="10"/>
  <c r="AN28" i="10"/>
  <c r="BD48" i="10"/>
  <c r="AN48" i="10"/>
  <c r="AN38" i="10"/>
  <c r="AN33" i="10"/>
  <c r="BD33" i="10"/>
  <c r="AN23" i="10"/>
  <c r="BD18" i="10"/>
  <c r="AW53" i="10" l="1"/>
  <c r="AW48" i="10"/>
  <c r="AW43" i="10"/>
  <c r="AW38" i="10"/>
  <c r="AW33" i="10"/>
  <c r="AW28" i="10"/>
  <c r="AW23" i="10"/>
  <c r="E123" i="9"/>
  <c r="D123" i="9"/>
  <c r="E122" i="9"/>
  <c r="D122" i="9"/>
  <c r="F141" i="9" l="1"/>
  <c r="F142" i="9"/>
  <c r="F143" i="9"/>
  <c r="F140" i="9"/>
  <c r="D2" i="15" l="1"/>
  <c r="A4" i="18"/>
  <c r="L130" i="18" l="1"/>
  <c r="J130" i="18"/>
  <c r="H49" i="8" l="1"/>
  <c r="C49" i="8"/>
  <c r="AA38" i="8"/>
  <c r="H38" i="8"/>
  <c r="C38" i="8"/>
  <c r="Q43" i="15"/>
  <c r="Y15" i="15" s="1"/>
  <c r="B8" i="10" l="1"/>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8" i="3"/>
  <c r="B7" i="3"/>
  <c r="S12" i="3" l="1"/>
  <c r="S13" i="3"/>
  <c r="S14" i="3"/>
  <c r="S16" i="3"/>
  <c r="S17" i="3"/>
  <c r="S18" i="3"/>
  <c r="S19" i="3"/>
  <c r="S20" i="3"/>
  <c r="S21" i="3"/>
  <c r="S22"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A3" i="18" l="1"/>
  <c r="L8" i="7" l="1"/>
  <c r="L7" i="7"/>
  <c r="L6" i="7"/>
  <c r="L5" i="7"/>
  <c r="O8" i="7"/>
  <c r="O7" i="7"/>
  <c r="O6" i="7"/>
  <c r="O5" i="7"/>
  <c r="N8" i="7"/>
  <c r="N7" i="7"/>
  <c r="N6" i="7"/>
  <c r="N5" i="7"/>
  <c r="C11" i="18"/>
  <c r="C10" i="18"/>
  <c r="C9" i="18"/>
  <c r="H55" i="8" l="1"/>
  <c r="C55" i="8"/>
  <c r="AA42" i="8"/>
  <c r="H42" i="8"/>
  <c r="C42" i="8"/>
  <c r="AA39" i="8"/>
  <c r="AA44" i="8" l="1"/>
  <c r="AA43" i="8"/>
  <c r="AD63" i="8" l="1"/>
  <c r="AE63" i="8" s="1"/>
  <c r="AF63" i="8" s="1"/>
  <c r="AD62" i="8"/>
  <c r="AE62" i="8" s="1"/>
  <c r="AF62" i="8" s="1"/>
  <c r="AD64" i="8"/>
  <c r="AE64" i="8" s="1"/>
  <c r="AF64" i="8" s="1"/>
  <c r="AA35" i="8"/>
  <c r="AA37" i="8"/>
  <c r="AA36" i="8"/>
  <c r="AA45" i="8"/>
  <c r="AA41" i="8" l="1"/>
  <c r="AA40" i="8"/>
  <c r="C69" i="9" l="1"/>
  <c r="D119" i="9"/>
  <c r="E119" i="9"/>
  <c r="H61" i="8"/>
  <c r="C6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9" i="8"/>
  <c r="C40" i="8"/>
  <c r="C41" i="8"/>
  <c r="C43" i="8"/>
  <c r="C44" i="8"/>
  <c r="C45" i="8"/>
  <c r="C46" i="8"/>
  <c r="C47" i="8"/>
  <c r="C48" i="8"/>
  <c r="C50" i="8"/>
  <c r="C51" i="8"/>
  <c r="C52" i="8"/>
  <c r="C53" i="8"/>
  <c r="C54" i="8"/>
  <c r="C56" i="8"/>
  <c r="C57" i="8"/>
  <c r="C58" i="8"/>
  <c r="C59" i="8"/>
  <c r="C60" i="8"/>
  <c r="C62" i="8"/>
  <c r="C63" i="8"/>
  <c r="C64" i="8"/>
  <c r="C65" i="8"/>
  <c r="C66" i="8"/>
  <c r="C67" i="8"/>
  <c r="C68" i="8"/>
  <c r="C69" i="8"/>
  <c r="C70" i="8"/>
  <c r="C71" i="8"/>
  <c r="C72" i="8"/>
  <c r="C73" i="8"/>
  <c r="C74" i="8"/>
  <c r="C75" i="8"/>
  <c r="C76" i="8"/>
  <c r="C77" i="8"/>
  <c r="C78" i="8"/>
  <c r="E118" i="9"/>
  <c r="C124" i="9"/>
  <c r="E120" i="9" s="1"/>
  <c r="D118" i="9"/>
  <c r="K130" i="9"/>
  <c r="H3"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9" i="8"/>
  <c r="H40" i="8"/>
  <c r="H41" i="8"/>
  <c r="H43" i="8"/>
  <c r="H44" i="8"/>
  <c r="H45" i="8"/>
  <c r="H46" i="8"/>
  <c r="H47" i="8"/>
  <c r="H48" i="8"/>
  <c r="H50" i="8"/>
  <c r="H51" i="8"/>
  <c r="H52" i="8"/>
  <c r="H53" i="8"/>
  <c r="H54" i="8"/>
  <c r="H56" i="8"/>
  <c r="H57" i="8"/>
  <c r="H58" i="8"/>
  <c r="H59" i="8"/>
  <c r="H60" i="8"/>
  <c r="H62" i="8"/>
  <c r="H63" i="8"/>
  <c r="H64" i="8"/>
  <c r="H65" i="8"/>
  <c r="H66" i="8"/>
  <c r="H67" i="8"/>
  <c r="H68" i="8"/>
  <c r="H69" i="8"/>
  <c r="H70" i="8"/>
  <c r="H71" i="8"/>
  <c r="H72" i="8"/>
  <c r="H73" i="8"/>
  <c r="H74" i="8"/>
  <c r="H75" i="8"/>
  <c r="H76" i="8"/>
  <c r="H77" i="8"/>
  <c r="H78" i="8"/>
  <c r="M7"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1" i="3"/>
  <c r="AA60" i="3"/>
  <c r="BF9" i="10"/>
  <c r="BF10" i="10"/>
  <c r="BF11" i="10"/>
  <c r="BF12" i="10"/>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I8" i="10"/>
  <c r="W14" i="7"/>
  <c r="W15" i="7"/>
  <c r="L35" i="8"/>
  <c r="C80" i="9"/>
  <c r="M80" i="9" s="1"/>
  <c r="D88" i="9"/>
  <c r="C82" i="9"/>
  <c r="F88" i="9"/>
  <c r="D87" i="9"/>
  <c r="C52" i="9"/>
  <c r="S13" i="7"/>
  <c r="S14" i="7"/>
  <c r="S15" i="7"/>
  <c r="R8" i="3"/>
  <c r="R12" i="3"/>
  <c r="V12" i="3" s="1"/>
  <c r="R24" i="3"/>
  <c r="V24" i="3" s="1"/>
  <c r="R36" i="3"/>
  <c r="V36" i="3" s="1"/>
  <c r="R48" i="3"/>
  <c r="V48" i="3" s="1"/>
  <c r="R60" i="3"/>
  <c r="V60" i="3" s="1"/>
  <c r="R72" i="3"/>
  <c r="V72" i="3" s="1"/>
  <c r="R84" i="3"/>
  <c r="V84" i="3" s="1"/>
  <c r="R96" i="3"/>
  <c r="V96" i="3" s="1"/>
  <c r="R108" i="3"/>
  <c r="V108" i="3" s="1"/>
  <c r="R120" i="3"/>
  <c r="V120" i="3" s="1"/>
  <c r="R132" i="3"/>
  <c r="V132" i="3" s="1"/>
  <c r="R144" i="3"/>
  <c r="V144" i="3" s="1"/>
  <c r="R156" i="3"/>
  <c r="V156" i="3" s="1"/>
  <c r="W4" i="7"/>
  <c r="W5" i="7"/>
  <c r="X4" i="7"/>
  <c r="X5" i="7"/>
  <c r="P8" i="7"/>
  <c r="P7" i="7"/>
  <c r="P6" i="7"/>
  <c r="P5" i="7"/>
  <c r="D101" i="9"/>
  <c r="T29" i="8" s="1"/>
  <c r="Q31" i="15"/>
  <c r="G9" i="3"/>
  <c r="G10" i="3"/>
  <c r="G12" i="3"/>
  <c r="G13" i="3"/>
  <c r="G14" i="3"/>
  <c r="G15" i="3"/>
  <c r="G16" i="3"/>
  <c r="G17" i="3"/>
  <c r="G18" i="3"/>
  <c r="G19" i="3"/>
  <c r="G20" i="3"/>
  <c r="AA8" i="3"/>
  <c r="AA7" i="3"/>
  <c r="L36" i="8"/>
  <c r="AA58" i="3"/>
  <c r="AA59"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7" i="3"/>
  <c r="AV9" i="10"/>
  <c r="AY9" i="10" s="1"/>
  <c r="AV10" i="10"/>
  <c r="AV11" i="10"/>
  <c r="AV12" i="10"/>
  <c r="AW12" i="10" s="1"/>
  <c r="AV8" i="10"/>
  <c r="N9" i="15"/>
  <c r="K132" i="9"/>
  <c r="R132" i="9"/>
  <c r="F134" i="9"/>
  <c r="G134" i="9" s="1"/>
  <c r="H134" i="9"/>
  <c r="J134" i="9"/>
  <c r="K134" i="9" s="1"/>
  <c r="L134" i="9"/>
  <c r="M134" i="9"/>
  <c r="N134" i="9" s="1"/>
  <c r="O134" i="9"/>
  <c r="Q134" i="9"/>
  <c r="R134" i="9" s="1"/>
  <c r="S134" i="9"/>
  <c r="C145" i="9"/>
  <c r="C147" i="9" s="1"/>
  <c r="D145" i="9"/>
  <c r="D147" i="9" s="1"/>
  <c r="E145" i="9"/>
  <c r="E147" i="9" s="1"/>
  <c r="K131" i="9"/>
  <c r="F133" i="9"/>
  <c r="G133" i="9" s="1"/>
  <c r="H133" i="9"/>
  <c r="J133" i="9"/>
  <c r="K133" i="9" s="1"/>
  <c r="L133" i="9"/>
  <c r="E4" i="14"/>
  <c r="E8" i="11"/>
  <c r="AZ21" i="15"/>
  <c r="C13" i="14"/>
  <c r="C12" i="13"/>
  <c r="N6" i="15"/>
  <c r="N8" i="15"/>
  <c r="N7" i="15"/>
  <c r="BZ44" i="15"/>
  <c r="BZ42" i="15"/>
  <c r="BZ41" i="15"/>
  <c r="BZ35" i="15"/>
  <c r="BZ36" i="15"/>
  <c r="BZ34" i="15"/>
  <c r="BZ33" i="15"/>
  <c r="AZ18" i="15"/>
  <c r="AZ17" i="15"/>
  <c r="AZ16" i="15"/>
  <c r="BR31" i="15"/>
  <c r="BZ32" i="15"/>
  <c r="BZ31" i="15"/>
  <c r="BZ37" i="15"/>
  <c r="BV31" i="15"/>
  <c r="R73" i="13"/>
  <c r="R74" i="13"/>
  <c r="R75" i="13"/>
  <c r="C75" i="13" s="1"/>
  <c r="R77" i="13"/>
  <c r="R78" i="13"/>
  <c r="R79" i="13"/>
  <c r="R80" i="13"/>
  <c r="C80" i="13" s="1"/>
  <c r="R81" i="13"/>
  <c r="C81" i="13" s="1"/>
  <c r="R82" i="13"/>
  <c r="R83" i="13"/>
  <c r="R84" i="13"/>
  <c r="E84" i="13" s="1"/>
  <c r="R85" i="13"/>
  <c r="C85" i="13" s="1"/>
  <c r="C15" i="13"/>
  <c r="F34" i="13"/>
  <c r="E77" i="13"/>
  <c r="BE12" i="10"/>
  <c r="BE11" i="10"/>
  <c r="BE10" i="10"/>
  <c r="BE9" i="10"/>
  <c r="A33" i="11"/>
  <c r="A34" i="11"/>
  <c r="A35" i="11"/>
  <c r="A36" i="11"/>
  <c r="A37" i="11"/>
  <c r="A38" i="11"/>
  <c r="A39" i="11"/>
  <c r="A40" i="11"/>
  <c r="A32" i="11"/>
  <c r="A13" i="11"/>
  <c r="A14" i="11"/>
  <c r="A15" i="11"/>
  <c r="A16" i="11"/>
  <c r="A17" i="11"/>
  <c r="A18" i="11"/>
  <c r="A19" i="11"/>
  <c r="A20" i="11"/>
  <c r="A21" i="11"/>
  <c r="A22" i="11"/>
  <c r="A23" i="11"/>
  <c r="A24" i="11"/>
  <c r="A25" i="11"/>
  <c r="A26" i="11"/>
  <c r="A27" i="11"/>
  <c r="A12" i="11"/>
  <c r="AC7" i="3"/>
  <c r="B4" i="7"/>
  <c r="A4" i="7"/>
  <c r="B3" i="7"/>
  <c r="A3" i="7"/>
  <c r="G12" i="10"/>
  <c r="E12" i="10"/>
  <c r="D12" i="10"/>
  <c r="G11" i="10"/>
  <c r="E11" i="10"/>
  <c r="D11" i="10"/>
  <c r="G10" i="10"/>
  <c r="E10" i="10"/>
  <c r="D10" i="10"/>
  <c r="G9" i="10"/>
  <c r="E9" i="10"/>
  <c r="D9" i="10"/>
  <c r="F8" i="10"/>
  <c r="S133" i="9"/>
  <c r="Q133" i="9"/>
  <c r="R133" i="9" s="1"/>
  <c r="O133" i="9"/>
  <c r="M133" i="9"/>
  <c r="N133" i="9" s="1"/>
  <c r="R131" i="9"/>
  <c r="R130" i="9"/>
  <c r="D77" i="9"/>
  <c r="C111" i="9"/>
  <c r="C112" i="9" s="1"/>
  <c r="C70" i="9"/>
  <c r="X16" i="7"/>
  <c r="W16" i="7"/>
  <c r="V16" i="7"/>
  <c r="U16" i="7"/>
  <c r="T16" i="7"/>
  <c r="S16" i="7"/>
  <c r="R16" i="7"/>
  <c r="Q16" i="7"/>
  <c r="M16" i="7"/>
  <c r="K16" i="7"/>
  <c r="X15" i="7"/>
  <c r="V15" i="7"/>
  <c r="U15" i="7"/>
  <c r="T15" i="7"/>
  <c r="R15" i="7"/>
  <c r="Q15" i="7"/>
  <c r="K15" i="7"/>
  <c r="V14" i="7"/>
  <c r="U14" i="7"/>
  <c r="T14" i="7"/>
  <c r="R14" i="7"/>
  <c r="Q14" i="7"/>
  <c r="K14" i="7"/>
  <c r="V13" i="7"/>
  <c r="U13" i="7"/>
  <c r="R13" i="7"/>
  <c r="V12" i="7"/>
  <c r="U12" i="7"/>
  <c r="X8" i="7"/>
  <c r="W8" i="7"/>
  <c r="V8" i="7"/>
  <c r="U8" i="7"/>
  <c r="T8" i="7"/>
  <c r="S8" i="7"/>
  <c r="R8" i="7"/>
  <c r="Q8" i="7"/>
  <c r="M8" i="7"/>
  <c r="K8" i="7"/>
  <c r="X7" i="7"/>
  <c r="W7" i="7"/>
  <c r="V7" i="7"/>
  <c r="U7" i="7"/>
  <c r="T7" i="7"/>
  <c r="S7" i="7"/>
  <c r="R7" i="7"/>
  <c r="Q7" i="7"/>
  <c r="M7" i="7"/>
  <c r="K7" i="7"/>
  <c r="X6" i="7"/>
  <c r="W6" i="7"/>
  <c r="V6" i="7"/>
  <c r="U6" i="7"/>
  <c r="T6" i="7"/>
  <c r="S6" i="7"/>
  <c r="R6" i="7"/>
  <c r="Q6" i="7"/>
  <c r="M6" i="7"/>
  <c r="K6" i="7"/>
  <c r="V5" i="7"/>
  <c r="U5" i="7"/>
  <c r="T5" i="7"/>
  <c r="Q5" i="7"/>
  <c r="M5" i="7"/>
  <c r="K5" i="7"/>
  <c r="U4" i="7"/>
  <c r="Q4" i="7"/>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Y16" i="3"/>
  <c r="Y17" i="3"/>
  <c r="Y18" i="3"/>
  <c r="Y19" i="3"/>
  <c r="Y20" i="3"/>
  <c r="Y21" i="3"/>
  <c r="Y22"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X16" i="3"/>
  <c r="X17" i="3"/>
  <c r="X18" i="3"/>
  <c r="X19" i="3"/>
  <c r="AE19" i="3" s="1"/>
  <c r="X20" i="3"/>
  <c r="X21" i="3"/>
  <c r="AE21" i="3" s="1"/>
  <c r="X22" i="3"/>
  <c r="X23" i="3"/>
  <c r="X24" i="3"/>
  <c r="X25" i="3"/>
  <c r="X26" i="3"/>
  <c r="X27" i="3"/>
  <c r="X28" i="3"/>
  <c r="X29" i="3"/>
  <c r="X30" i="3"/>
  <c r="X31" i="3"/>
  <c r="AE31" i="3" s="1"/>
  <c r="X32" i="3"/>
  <c r="X33" i="3"/>
  <c r="AE33" i="3" s="1"/>
  <c r="X34" i="3"/>
  <c r="X35" i="3"/>
  <c r="X36" i="3"/>
  <c r="X37" i="3"/>
  <c r="X38" i="3"/>
  <c r="X39" i="3"/>
  <c r="X40" i="3"/>
  <c r="AE40" i="3" s="1"/>
  <c r="X41" i="3"/>
  <c r="X42" i="3"/>
  <c r="X43" i="3"/>
  <c r="AE43" i="3" s="1"/>
  <c r="X44" i="3"/>
  <c r="X45" i="3"/>
  <c r="AE45" i="3" s="1"/>
  <c r="X46" i="3"/>
  <c r="X47" i="3"/>
  <c r="X48" i="3"/>
  <c r="X49" i="3"/>
  <c r="X50" i="3"/>
  <c r="X51" i="3"/>
  <c r="X52" i="3"/>
  <c r="AE52" i="3" s="1"/>
  <c r="X53" i="3"/>
  <c r="X54" i="3"/>
  <c r="X55" i="3"/>
  <c r="AE55" i="3" s="1"/>
  <c r="X56" i="3"/>
  <c r="X57" i="3"/>
  <c r="AE57" i="3" s="1"/>
  <c r="X58" i="3"/>
  <c r="X59" i="3"/>
  <c r="X60" i="3"/>
  <c r="X61" i="3"/>
  <c r="X62" i="3"/>
  <c r="X63" i="3"/>
  <c r="X64" i="3"/>
  <c r="X65" i="3"/>
  <c r="X66" i="3"/>
  <c r="X67" i="3"/>
  <c r="AE67" i="3" s="1"/>
  <c r="X68" i="3"/>
  <c r="X69" i="3"/>
  <c r="AE69" i="3" s="1"/>
  <c r="X70" i="3"/>
  <c r="X71" i="3"/>
  <c r="X72" i="3"/>
  <c r="X73" i="3"/>
  <c r="X74" i="3"/>
  <c r="X75" i="3"/>
  <c r="X76" i="3"/>
  <c r="X77" i="3"/>
  <c r="X78" i="3"/>
  <c r="X79" i="3"/>
  <c r="AE79" i="3" s="1"/>
  <c r="X80" i="3"/>
  <c r="X81" i="3"/>
  <c r="AE81" i="3" s="1"/>
  <c r="X82" i="3"/>
  <c r="X83" i="3"/>
  <c r="X84" i="3"/>
  <c r="X85" i="3"/>
  <c r="X86" i="3"/>
  <c r="X87" i="3"/>
  <c r="X88" i="3"/>
  <c r="X89" i="3"/>
  <c r="X90" i="3"/>
  <c r="X91" i="3"/>
  <c r="AE91" i="3" s="1"/>
  <c r="X92" i="3"/>
  <c r="X93" i="3"/>
  <c r="AE93" i="3" s="1"/>
  <c r="X94" i="3"/>
  <c r="X95" i="3"/>
  <c r="X96" i="3"/>
  <c r="X97" i="3"/>
  <c r="X98" i="3"/>
  <c r="X99" i="3"/>
  <c r="X100" i="3"/>
  <c r="X101" i="3"/>
  <c r="X102" i="3"/>
  <c r="X103" i="3"/>
  <c r="AE103" i="3" s="1"/>
  <c r="X104" i="3"/>
  <c r="X105" i="3"/>
  <c r="AE105" i="3" s="1"/>
  <c r="X106" i="3"/>
  <c r="X107" i="3"/>
  <c r="X108" i="3"/>
  <c r="X109" i="3"/>
  <c r="X110" i="3"/>
  <c r="X111" i="3"/>
  <c r="X112" i="3"/>
  <c r="X113" i="3"/>
  <c r="X114" i="3"/>
  <c r="X115" i="3"/>
  <c r="AE115" i="3" s="1"/>
  <c r="X116" i="3"/>
  <c r="X117" i="3"/>
  <c r="AE117" i="3" s="1"/>
  <c r="X118" i="3"/>
  <c r="X119" i="3"/>
  <c r="X120" i="3"/>
  <c r="X121" i="3"/>
  <c r="X122" i="3"/>
  <c r="X123" i="3"/>
  <c r="X124" i="3"/>
  <c r="X125" i="3"/>
  <c r="X126" i="3"/>
  <c r="X127" i="3"/>
  <c r="AE127" i="3" s="1"/>
  <c r="X128" i="3"/>
  <c r="X129" i="3"/>
  <c r="AE129" i="3" s="1"/>
  <c r="X130" i="3"/>
  <c r="X131" i="3"/>
  <c r="X132" i="3"/>
  <c r="X133" i="3"/>
  <c r="X134" i="3"/>
  <c r="X135" i="3"/>
  <c r="X136" i="3"/>
  <c r="X137" i="3"/>
  <c r="X138" i="3"/>
  <c r="X139" i="3"/>
  <c r="AE139" i="3" s="1"/>
  <c r="X140" i="3"/>
  <c r="X141" i="3"/>
  <c r="AE141" i="3" s="1"/>
  <c r="X142" i="3"/>
  <c r="X143" i="3"/>
  <c r="X144" i="3"/>
  <c r="X145" i="3"/>
  <c r="X146" i="3"/>
  <c r="X147" i="3"/>
  <c r="X148" i="3"/>
  <c r="X149" i="3"/>
  <c r="X150" i="3"/>
  <c r="X151" i="3"/>
  <c r="AE151" i="3" s="1"/>
  <c r="X152" i="3"/>
  <c r="X153" i="3"/>
  <c r="AE153" i="3" s="1"/>
  <c r="X154" i="3"/>
  <c r="X155" i="3"/>
  <c r="X156" i="3"/>
  <c r="X13" i="3"/>
  <c r="X14" i="3"/>
  <c r="X15" i="3"/>
  <c r="G156" i="3"/>
  <c r="G155" i="3"/>
  <c r="G154" i="3"/>
  <c r="G153" i="3"/>
  <c r="G152" i="3"/>
  <c r="G151" i="3"/>
  <c r="G150" i="3"/>
  <c r="AB150" i="3" s="1" a="1"/>
  <c r="AB150" i="3" s="1"/>
  <c r="G149" i="3"/>
  <c r="G148" i="3"/>
  <c r="G147" i="3"/>
  <c r="G146" i="3"/>
  <c r="G145" i="3"/>
  <c r="G144" i="3"/>
  <c r="G143" i="3"/>
  <c r="G142" i="3"/>
  <c r="G141" i="3"/>
  <c r="G140" i="3"/>
  <c r="G139" i="3"/>
  <c r="G138" i="3"/>
  <c r="AB138" i="3" s="1" a="1"/>
  <c r="AB138" i="3" s="1"/>
  <c r="G137" i="3"/>
  <c r="G136" i="3"/>
  <c r="G135" i="3"/>
  <c r="G134" i="3"/>
  <c r="G133" i="3"/>
  <c r="G132" i="3"/>
  <c r="G131" i="3"/>
  <c r="G130" i="3"/>
  <c r="G129" i="3"/>
  <c r="G128" i="3"/>
  <c r="G127" i="3"/>
  <c r="G126" i="3"/>
  <c r="AB126" i="3" s="1" a="1"/>
  <c r="AB126" i="3" s="1"/>
  <c r="G125" i="3"/>
  <c r="G124" i="3"/>
  <c r="G123" i="3"/>
  <c r="G122" i="3"/>
  <c r="G121" i="3"/>
  <c r="G120" i="3"/>
  <c r="G119" i="3"/>
  <c r="G118" i="3"/>
  <c r="G117" i="3"/>
  <c r="G116" i="3"/>
  <c r="G115" i="3"/>
  <c r="G114" i="3"/>
  <c r="AB114" i="3" s="1" a="1"/>
  <c r="AB114" i="3" s="1"/>
  <c r="G113" i="3"/>
  <c r="G112" i="3"/>
  <c r="G111" i="3"/>
  <c r="G110" i="3"/>
  <c r="G109" i="3"/>
  <c r="G108" i="3"/>
  <c r="G107" i="3"/>
  <c r="G106" i="3"/>
  <c r="G105" i="3"/>
  <c r="G104" i="3"/>
  <c r="G103" i="3"/>
  <c r="G102" i="3"/>
  <c r="AB102" i="3" s="1" a="1"/>
  <c r="AB102" i="3" s="1"/>
  <c r="G101" i="3"/>
  <c r="G100" i="3"/>
  <c r="G99" i="3"/>
  <c r="G98" i="3"/>
  <c r="G97" i="3"/>
  <c r="G96" i="3"/>
  <c r="G95" i="3"/>
  <c r="G94" i="3"/>
  <c r="G93" i="3"/>
  <c r="G92" i="3"/>
  <c r="G91" i="3"/>
  <c r="G90" i="3"/>
  <c r="G89" i="3"/>
  <c r="G88" i="3"/>
  <c r="G87" i="3"/>
  <c r="G86" i="3"/>
  <c r="G85" i="3"/>
  <c r="G84" i="3"/>
  <c r="G83" i="3"/>
  <c r="G82" i="3"/>
  <c r="G81" i="3"/>
  <c r="G80" i="3"/>
  <c r="G79" i="3"/>
  <c r="G78" i="3"/>
  <c r="AB78" i="3" s="1" a="1"/>
  <c r="AB78" i="3" s="1"/>
  <c r="G77" i="3"/>
  <c r="G76" i="3"/>
  <c r="G75" i="3"/>
  <c r="G74" i="3"/>
  <c r="G73" i="3"/>
  <c r="G72" i="3"/>
  <c r="G71" i="3"/>
  <c r="G70" i="3"/>
  <c r="G69" i="3"/>
  <c r="G68" i="3"/>
  <c r="G67" i="3"/>
  <c r="G66" i="3"/>
  <c r="AB66" i="3" s="1" a="1"/>
  <c r="AB66" i="3" s="1"/>
  <c r="G65" i="3"/>
  <c r="G64" i="3"/>
  <c r="G63" i="3"/>
  <c r="G62" i="3"/>
  <c r="G61" i="3"/>
  <c r="G59" i="3"/>
  <c r="G58" i="3"/>
  <c r="G57" i="3"/>
  <c r="G56" i="3"/>
  <c r="G55" i="3"/>
  <c r="G54" i="3"/>
  <c r="G53" i="3"/>
  <c r="AB53" i="3" s="1" a="1"/>
  <c r="AB53" i="3" s="1"/>
  <c r="G52" i="3"/>
  <c r="G51" i="3"/>
  <c r="G50" i="3"/>
  <c r="G49" i="3"/>
  <c r="G48" i="3"/>
  <c r="G47" i="3"/>
  <c r="G46" i="3"/>
  <c r="G45" i="3"/>
  <c r="G44" i="3"/>
  <c r="G43" i="3"/>
  <c r="G42" i="3"/>
  <c r="G41" i="3"/>
  <c r="AB41" i="3" s="1" a="1"/>
  <c r="AB41" i="3" s="1"/>
  <c r="G40" i="3"/>
  <c r="G39" i="3"/>
  <c r="G38" i="3"/>
  <c r="G37" i="3"/>
  <c r="G36" i="3"/>
  <c r="G35" i="3"/>
  <c r="G34" i="3"/>
  <c r="G33" i="3"/>
  <c r="G32" i="3"/>
  <c r="G31" i="3"/>
  <c r="G30" i="3"/>
  <c r="G29" i="3"/>
  <c r="G28" i="3"/>
  <c r="G27" i="3"/>
  <c r="G26" i="3"/>
  <c r="G25" i="3"/>
  <c r="G24" i="3"/>
  <c r="G23" i="3"/>
  <c r="G22" i="3"/>
  <c r="G21" i="3"/>
  <c r="AA10" i="3"/>
  <c r="G8" i="3"/>
  <c r="G60" i="3"/>
  <c r="X7" i="3"/>
  <c r="X12" i="3"/>
  <c r="G8" i="11"/>
  <c r="Y14" i="3"/>
  <c r="Y13" i="3"/>
  <c r="Y12" i="3"/>
  <c r="R70" i="13"/>
  <c r="R71" i="13"/>
  <c r="C71" i="13" s="1"/>
  <c r="R72" i="13"/>
  <c r="R76" i="13"/>
  <c r="AB90" i="3" l="1" a="1"/>
  <c r="AB90" i="3" s="1"/>
  <c r="L82" i="9"/>
  <c r="E80" i="9"/>
  <c r="F80" i="9" s="1"/>
  <c r="E82" i="9" a="1"/>
  <c r="E82" i="9" s="1"/>
  <c r="F82" i="9" s="1"/>
  <c r="T31" i="8"/>
  <c r="T33" i="8"/>
  <c r="T34" i="8"/>
  <c r="V8" i="3"/>
  <c r="AB30" i="3" a="1"/>
  <c r="AB30" i="3" s="1"/>
  <c r="AF30" i="3" s="1"/>
  <c r="AB42" i="3" a="1"/>
  <c r="AB42" i="3" s="1"/>
  <c r="AF42" i="3" s="1"/>
  <c r="AB54" i="3" a="1"/>
  <c r="AB54" i="3" s="1"/>
  <c r="AF54" i="3" s="1"/>
  <c r="AB116" i="3" a="1"/>
  <c r="AB116" i="3" s="1"/>
  <c r="AF116" i="3" s="1"/>
  <c r="AB104" i="3" a="1"/>
  <c r="AB104" i="3" s="1"/>
  <c r="AB56" i="3" a="1"/>
  <c r="AB56" i="3" s="1"/>
  <c r="AB140" i="3" a="1"/>
  <c r="AB140" i="3" s="1"/>
  <c r="AF140" i="3" s="1"/>
  <c r="AB128" i="3" a="1"/>
  <c r="AB128" i="3" s="1"/>
  <c r="AF128" i="3" s="1"/>
  <c r="AB68" i="3" a="1"/>
  <c r="AB68" i="3" s="1"/>
  <c r="AF68" i="3" s="1"/>
  <c r="AB152" i="3" a="1"/>
  <c r="AB152" i="3" s="1"/>
  <c r="AF152" i="3" s="1"/>
  <c r="AB80" i="3" a="1"/>
  <c r="AB80" i="3" s="1"/>
  <c r="AF80" i="3" s="1"/>
  <c r="AB44" i="3" a="1"/>
  <c r="AB44" i="3" s="1"/>
  <c r="AF44" i="3" s="1"/>
  <c r="AB92" i="3" a="1"/>
  <c r="AB92" i="3" s="1"/>
  <c r="AF92" i="3" s="1"/>
  <c r="AB32" i="3" a="1"/>
  <c r="AB32" i="3" s="1"/>
  <c r="AF32" i="3" s="1"/>
  <c r="AB67" i="3" a="1"/>
  <c r="AB67" i="3" s="1"/>
  <c r="AF67" i="3" s="1"/>
  <c r="AB79" i="3" a="1"/>
  <c r="AB79" i="3" s="1"/>
  <c r="AF79" i="3" s="1"/>
  <c r="AB91" i="3" a="1"/>
  <c r="AB91" i="3" s="1"/>
  <c r="AB103" i="3" a="1"/>
  <c r="AB103" i="3" s="1"/>
  <c r="AB115" i="3" a="1"/>
  <c r="AB115" i="3" s="1"/>
  <c r="AF115" i="3" s="1"/>
  <c r="AB127" i="3" a="1"/>
  <c r="AB127" i="3" s="1"/>
  <c r="AF127" i="3" s="1"/>
  <c r="AB139" i="3" a="1"/>
  <c r="AB139" i="3" s="1"/>
  <c r="AF139" i="3" s="1"/>
  <c r="AB151" i="3" a="1"/>
  <c r="AB151" i="3" s="1"/>
  <c r="AF151" i="3" s="1"/>
  <c r="AB55" i="3" a="1"/>
  <c r="AB55" i="3" s="1"/>
  <c r="AF55" i="3" s="1"/>
  <c r="AB43" i="3" a="1"/>
  <c r="AB43" i="3" s="1"/>
  <c r="AF43" i="3" s="1"/>
  <c r="AB22" i="3" a="1"/>
  <c r="AB22" i="3" s="1"/>
  <c r="AF22" i="3" s="1"/>
  <c r="AB31" i="3" a="1"/>
  <c r="AB31" i="3" s="1"/>
  <c r="AF31" i="3" s="1"/>
  <c r="AE27" i="3"/>
  <c r="AB34" i="3" a="1"/>
  <c r="AB34" i="3" s="1"/>
  <c r="AF34" i="3" s="1"/>
  <c r="AB46" i="3" a="1"/>
  <c r="AB46" i="3" s="1"/>
  <c r="AF46" i="3" s="1"/>
  <c r="AE150" i="3"/>
  <c r="AE138" i="3"/>
  <c r="AE126" i="3"/>
  <c r="AE114" i="3"/>
  <c r="AE102" i="3"/>
  <c r="AE90" i="3"/>
  <c r="AE78" i="3"/>
  <c r="AE66" i="3"/>
  <c r="AE54" i="3"/>
  <c r="AE42" i="3"/>
  <c r="AE30" i="3"/>
  <c r="AE18" i="3"/>
  <c r="AE15" i="3"/>
  <c r="T32" i="8"/>
  <c r="AB25" i="3" a="1"/>
  <c r="AB25" i="3" s="1"/>
  <c r="AF25" i="3" s="1"/>
  <c r="AB37" i="3" a="1"/>
  <c r="AB37" i="3" s="1"/>
  <c r="AF37" i="3" s="1"/>
  <c r="AB49" i="3" a="1"/>
  <c r="AB49" i="3" s="1"/>
  <c r="AF49" i="3" s="1"/>
  <c r="AB62" i="3" a="1"/>
  <c r="AB62" i="3" s="1"/>
  <c r="AF62" i="3" s="1"/>
  <c r="AB74" i="3" a="1"/>
  <c r="AB74" i="3" s="1"/>
  <c r="AF74" i="3" s="1"/>
  <c r="AB86" i="3" a="1"/>
  <c r="AB86" i="3" s="1"/>
  <c r="AF86" i="3" s="1"/>
  <c r="AB98" i="3" a="1"/>
  <c r="AB98" i="3" s="1"/>
  <c r="AF98" i="3" s="1"/>
  <c r="AB110" i="3" a="1"/>
  <c r="AB110" i="3" s="1"/>
  <c r="AF110" i="3" s="1"/>
  <c r="AB122" i="3" a="1"/>
  <c r="AB122" i="3" s="1"/>
  <c r="AF122" i="3" s="1"/>
  <c r="AB134" i="3" a="1"/>
  <c r="AB134" i="3" s="1"/>
  <c r="AF134" i="3" s="1"/>
  <c r="AB146" i="3" a="1"/>
  <c r="AB146" i="3" s="1"/>
  <c r="AF146" i="3" s="1"/>
  <c r="AE20" i="3"/>
  <c r="AE147" i="3"/>
  <c r="AE135" i="3"/>
  <c r="AE123" i="3"/>
  <c r="AE111" i="3"/>
  <c r="AE99" i="3"/>
  <c r="AE87" i="3"/>
  <c r="AE75" i="3"/>
  <c r="AE63" i="3"/>
  <c r="AE51" i="3"/>
  <c r="AE39" i="3"/>
  <c r="AB96" i="3" a="1"/>
  <c r="AB96" i="3" s="1"/>
  <c r="AF96" i="3" s="1"/>
  <c r="AB36" i="3" a="1"/>
  <c r="AB36" i="3" s="1"/>
  <c r="AF36" i="3" s="1"/>
  <c r="AB26" i="3" a="1"/>
  <c r="AB26" i="3" s="1"/>
  <c r="AF26" i="3" s="1"/>
  <c r="AB38" i="3" a="1"/>
  <c r="AB38" i="3" s="1"/>
  <c r="AF38" i="3" s="1"/>
  <c r="AB50" i="3" a="1"/>
  <c r="AB50" i="3" s="1"/>
  <c r="AF50" i="3" s="1"/>
  <c r="AB72" i="3" a="1"/>
  <c r="AB72" i="3" s="1"/>
  <c r="AF72" i="3" s="1"/>
  <c r="AB48" i="3" a="1"/>
  <c r="AB48" i="3" s="1"/>
  <c r="AF48" i="3" s="1"/>
  <c r="AB120" i="3" a="1"/>
  <c r="AB120" i="3" s="1"/>
  <c r="AF120" i="3" s="1"/>
  <c r="AB84" i="3" a="1"/>
  <c r="AB84" i="3" s="1"/>
  <c r="AF84" i="3" s="1"/>
  <c r="AB108" i="3" a="1"/>
  <c r="AB108" i="3" s="1"/>
  <c r="AF108" i="3" s="1"/>
  <c r="AB144" i="3" a="1"/>
  <c r="AB144" i="3" s="1"/>
  <c r="AF144" i="3" s="1"/>
  <c r="AB156" i="3" a="1"/>
  <c r="AB156" i="3" s="1"/>
  <c r="AF156" i="3" s="1"/>
  <c r="AB132" i="3" a="1"/>
  <c r="AB132" i="3" s="1"/>
  <c r="AF132" i="3" s="1"/>
  <c r="AB24" i="3" a="1"/>
  <c r="AB24" i="3" s="1"/>
  <c r="AF24" i="3" s="1"/>
  <c r="AB70" i="3" a="1"/>
  <c r="AB70" i="3" s="1"/>
  <c r="AF70" i="3" s="1"/>
  <c r="AB82" i="3" a="1"/>
  <c r="AB82" i="3" s="1"/>
  <c r="AF82" i="3" s="1"/>
  <c r="AB94" i="3" a="1"/>
  <c r="AB94" i="3" s="1"/>
  <c r="AF94" i="3" s="1"/>
  <c r="AB106" i="3" a="1"/>
  <c r="AB106" i="3" s="1"/>
  <c r="AF106" i="3" s="1"/>
  <c r="AB118" i="3" a="1"/>
  <c r="AB118" i="3" s="1"/>
  <c r="AF118" i="3" s="1"/>
  <c r="AB130" i="3" a="1"/>
  <c r="AB130" i="3" s="1"/>
  <c r="AF130" i="3" s="1"/>
  <c r="AB142" i="3" a="1"/>
  <c r="AB142" i="3" s="1"/>
  <c r="AF142" i="3" s="1"/>
  <c r="AB154" i="3" a="1"/>
  <c r="AB154" i="3" s="1"/>
  <c r="AF154" i="3" s="1"/>
  <c r="AB61" i="3" a="1"/>
  <c r="AB61" i="3" s="1"/>
  <c r="AF61" i="3" s="1"/>
  <c r="AB73" i="3" a="1"/>
  <c r="AB73" i="3" s="1"/>
  <c r="AF73" i="3" s="1"/>
  <c r="AB85" i="3" a="1"/>
  <c r="AB85" i="3" s="1"/>
  <c r="AF85" i="3" s="1"/>
  <c r="AB97" i="3" a="1"/>
  <c r="AB97" i="3" s="1"/>
  <c r="AF97" i="3" s="1"/>
  <c r="AB109" i="3" a="1"/>
  <c r="AB109" i="3" s="1"/>
  <c r="AF109" i="3" s="1"/>
  <c r="AB121" i="3" a="1"/>
  <c r="AB121" i="3" s="1"/>
  <c r="AF121" i="3" s="1"/>
  <c r="AB133" i="3" a="1"/>
  <c r="AB133" i="3" s="1"/>
  <c r="AF133" i="3" s="1"/>
  <c r="AB145" i="3" a="1"/>
  <c r="AB145" i="3" s="1"/>
  <c r="AF145" i="3" s="1"/>
  <c r="AB75" i="3" a="1"/>
  <c r="AB75" i="3" s="1"/>
  <c r="AF75" i="3" s="1"/>
  <c r="AB99" i="3" a="1"/>
  <c r="AB99" i="3" s="1"/>
  <c r="AF99" i="3" s="1"/>
  <c r="AB123" i="3" a="1"/>
  <c r="AB123" i="3" s="1"/>
  <c r="AF123" i="3" s="1"/>
  <c r="AB147" i="3" a="1"/>
  <c r="AB147" i="3" s="1"/>
  <c r="AF147" i="3" s="1"/>
  <c r="AB27" i="3" a="1"/>
  <c r="AB27" i="3" s="1"/>
  <c r="AF27" i="3" s="1"/>
  <c r="AB39" i="3" a="1"/>
  <c r="AB39" i="3" s="1"/>
  <c r="AF39" i="3" s="1"/>
  <c r="AB51" i="3" a="1"/>
  <c r="AB51" i="3" s="1"/>
  <c r="AF51" i="3" s="1"/>
  <c r="AB64" i="3" a="1"/>
  <c r="AB64" i="3" s="1"/>
  <c r="AF64" i="3" s="1"/>
  <c r="AB76" i="3" a="1"/>
  <c r="AB76" i="3" s="1"/>
  <c r="AF76" i="3" s="1"/>
  <c r="AB88" i="3" a="1"/>
  <c r="AB88" i="3" s="1"/>
  <c r="AF88" i="3" s="1"/>
  <c r="AB100" i="3" a="1"/>
  <c r="AB100" i="3" s="1"/>
  <c r="AF100" i="3" s="1"/>
  <c r="AB112" i="3" a="1"/>
  <c r="AB112" i="3" s="1"/>
  <c r="AF112" i="3" s="1"/>
  <c r="AB124" i="3" a="1"/>
  <c r="AB124" i="3" s="1"/>
  <c r="AF124" i="3" s="1"/>
  <c r="AB136" i="3" a="1"/>
  <c r="AB136" i="3" s="1"/>
  <c r="AF136" i="3" s="1"/>
  <c r="AB148" i="3" a="1"/>
  <c r="AB148" i="3" s="1"/>
  <c r="AF148" i="3" s="1"/>
  <c r="AB63" i="3" a="1"/>
  <c r="AB63" i="3" s="1"/>
  <c r="AF63" i="3" s="1"/>
  <c r="AB87" i="3" a="1"/>
  <c r="AB87" i="3" s="1"/>
  <c r="AF87" i="3" s="1"/>
  <c r="AB111" i="3" a="1"/>
  <c r="AB111" i="3" s="1"/>
  <c r="AF111" i="3" s="1"/>
  <c r="AB135" i="3" a="1"/>
  <c r="AB135" i="3" s="1"/>
  <c r="AF135" i="3" s="1"/>
  <c r="AB28" i="3" a="1"/>
  <c r="AB28" i="3" s="1"/>
  <c r="AF28" i="3" s="1"/>
  <c r="AB40" i="3" a="1"/>
  <c r="AB40" i="3" s="1"/>
  <c r="AF40" i="3" s="1"/>
  <c r="AB52" i="3" a="1"/>
  <c r="AB52" i="3" s="1"/>
  <c r="AF52" i="3" s="1"/>
  <c r="AB65" i="3" a="1"/>
  <c r="AB65" i="3" s="1"/>
  <c r="AF65" i="3" s="1"/>
  <c r="AB77" i="3" a="1"/>
  <c r="AB77" i="3" s="1"/>
  <c r="AF77" i="3" s="1"/>
  <c r="AB89" i="3" a="1"/>
  <c r="AB89" i="3" s="1"/>
  <c r="AF89" i="3" s="1"/>
  <c r="AB101" i="3" a="1"/>
  <c r="AB101" i="3" s="1"/>
  <c r="AF101" i="3" s="1"/>
  <c r="AB113" i="3" a="1"/>
  <c r="AB113" i="3" s="1"/>
  <c r="AF113" i="3" s="1"/>
  <c r="AB125" i="3" a="1"/>
  <c r="AB125" i="3" s="1"/>
  <c r="AF125" i="3" s="1"/>
  <c r="AB137" i="3" a="1"/>
  <c r="AB137" i="3" s="1"/>
  <c r="AF137" i="3" s="1"/>
  <c r="AB149" i="3" a="1"/>
  <c r="AB149" i="3" s="1"/>
  <c r="AF149" i="3" s="1"/>
  <c r="C88" i="9"/>
  <c r="D82" i="9"/>
  <c r="E75" i="9"/>
  <c r="C75" i="9"/>
  <c r="AR53" i="10"/>
  <c r="AU53" i="10" s="1"/>
  <c r="AR33" i="10"/>
  <c r="AU33" i="10" s="1"/>
  <c r="AR38" i="10"/>
  <c r="AU38" i="10" s="1"/>
  <c r="D120" i="9"/>
  <c r="AB16" i="3" a="1"/>
  <c r="AB16" i="3" s="1"/>
  <c r="AF16" i="3" s="1"/>
  <c r="AB14" i="3" a="1"/>
  <c r="AB14" i="3" s="1"/>
  <c r="AF14" i="3" s="1"/>
  <c r="E88" i="9"/>
  <c r="G88" i="9" s="1"/>
  <c r="AX10" i="10"/>
  <c r="AW9" i="10"/>
  <c r="AZ12" i="10"/>
  <c r="AZ11" i="10"/>
  <c r="C77" i="13"/>
  <c r="BA9" i="10"/>
  <c r="BD9" i="10"/>
  <c r="AX9" i="10"/>
  <c r="BB9" i="10"/>
  <c r="C84" i="13"/>
  <c r="C74" i="13"/>
  <c r="E85" i="13"/>
  <c r="C87" i="9"/>
  <c r="AY11" i="10"/>
  <c r="BA12" i="10"/>
  <c r="BA10" i="10"/>
  <c r="AY10" i="10"/>
  <c r="AZ10" i="10"/>
  <c r="AZ9" i="10"/>
  <c r="BB10" i="10"/>
  <c r="AI8" i="3"/>
  <c r="AJ8" i="3" s="1"/>
  <c r="AB59" i="3" a="1"/>
  <c r="AB59" i="3" s="1"/>
  <c r="AF59" i="3" s="1"/>
  <c r="AB58" i="3" a="1"/>
  <c r="AB58" i="3" s="1"/>
  <c r="AF58" i="3" s="1"/>
  <c r="AB60" i="3" a="1"/>
  <c r="AB60" i="3" s="1"/>
  <c r="AF60" i="3" s="1"/>
  <c r="AB15" i="3" a="1"/>
  <c r="AB15" i="3" s="1"/>
  <c r="AF15" i="3" s="1"/>
  <c r="AB57" i="3" a="1"/>
  <c r="AB57" i="3" s="1"/>
  <c r="AF57" i="3" s="1"/>
  <c r="AB12" i="3" a="1"/>
  <c r="AB12" i="3" s="1"/>
  <c r="AF12" i="3" s="1"/>
  <c r="AB45" i="3" a="1"/>
  <c r="AB45" i="3" s="1"/>
  <c r="AF45" i="3" s="1"/>
  <c r="AB129" i="3" a="1"/>
  <c r="AB129" i="3" s="1"/>
  <c r="AF129" i="3" s="1"/>
  <c r="AB13" i="3" a="1"/>
  <c r="AB13" i="3" s="1"/>
  <c r="AF13" i="3" s="1"/>
  <c r="AB95" i="3" a="1"/>
  <c r="AB95" i="3" s="1"/>
  <c r="AF95" i="3" s="1"/>
  <c r="AB107" i="3" a="1"/>
  <c r="AB107" i="3" s="1"/>
  <c r="AF107" i="3" s="1"/>
  <c r="AB119" i="3" a="1"/>
  <c r="AB119" i="3" s="1"/>
  <c r="AF119" i="3" s="1"/>
  <c r="AB131" i="3" a="1"/>
  <c r="AB131" i="3" s="1"/>
  <c r="AF131" i="3" s="1"/>
  <c r="AB143" i="3" a="1"/>
  <c r="AB143" i="3" s="1"/>
  <c r="AF143" i="3" s="1"/>
  <c r="AB155" i="3" a="1"/>
  <c r="AB155" i="3" s="1"/>
  <c r="AF155" i="3" s="1"/>
  <c r="AH156" i="3"/>
  <c r="AI156" i="3"/>
  <c r="AH144" i="3"/>
  <c r="AI144" i="3"/>
  <c r="AJ144" i="3" s="1"/>
  <c r="AH132" i="3"/>
  <c r="AI132" i="3"/>
  <c r="AJ132" i="3" s="1"/>
  <c r="AH120" i="3"/>
  <c r="AI120" i="3"/>
  <c r="AJ120" i="3" s="1"/>
  <c r="AH108" i="3"/>
  <c r="AI108" i="3"/>
  <c r="AJ108" i="3" s="1"/>
  <c r="AH96" i="3"/>
  <c r="AI96" i="3"/>
  <c r="AJ96" i="3" s="1"/>
  <c r="AH84" i="3"/>
  <c r="AI84" i="3"/>
  <c r="AJ84" i="3" s="1"/>
  <c r="AH72" i="3"/>
  <c r="AI72" i="3"/>
  <c r="AJ72" i="3" s="1"/>
  <c r="AH60" i="3"/>
  <c r="AI60" i="3"/>
  <c r="AJ60" i="3" s="1"/>
  <c r="AH48" i="3"/>
  <c r="AI48" i="3"/>
  <c r="AJ48" i="3" s="1"/>
  <c r="AH36" i="3"/>
  <c r="AI36" i="3"/>
  <c r="AJ36" i="3" s="1"/>
  <c r="AH24" i="3"/>
  <c r="AI24" i="3"/>
  <c r="AJ24" i="3" s="1"/>
  <c r="AH12" i="3"/>
  <c r="AI12" i="3"/>
  <c r="AJ12" i="3" s="1"/>
  <c r="AB21" i="3" a="1"/>
  <c r="AB21" i="3" s="1"/>
  <c r="AF21" i="3" s="1"/>
  <c r="AB23" i="3" a="1"/>
  <c r="AB23" i="3" s="1"/>
  <c r="AF23" i="3" s="1"/>
  <c r="AB33" i="3" a="1"/>
  <c r="AB33" i="3" s="1"/>
  <c r="AF33" i="3" s="1"/>
  <c r="AB117" i="3" a="1"/>
  <c r="AB117" i="3" s="1"/>
  <c r="AF117" i="3" s="1"/>
  <c r="AB71" i="3" a="1"/>
  <c r="AB71" i="3" s="1"/>
  <c r="AF71" i="3" s="1"/>
  <c r="AB93" i="3" a="1"/>
  <c r="AB93" i="3" s="1"/>
  <c r="AF93" i="3" s="1"/>
  <c r="AB35" i="3" a="1"/>
  <c r="AB35" i="3" s="1"/>
  <c r="AF35" i="3" s="1"/>
  <c r="AB20" i="3" a="1"/>
  <c r="AB20" i="3" s="1"/>
  <c r="AF20" i="3" s="1"/>
  <c r="AB81" i="3" a="1"/>
  <c r="AB81" i="3" s="1"/>
  <c r="AF81" i="3" s="1"/>
  <c r="AB153" i="3" a="1"/>
  <c r="AB153" i="3" s="1"/>
  <c r="AF153" i="3" s="1"/>
  <c r="AB83" i="3" a="1"/>
  <c r="AB83" i="3" s="1"/>
  <c r="AF83" i="3" s="1"/>
  <c r="AB19" i="3" a="1"/>
  <c r="AB19" i="3" s="1"/>
  <c r="AF19" i="3" s="1"/>
  <c r="AB105" i="3" a="1"/>
  <c r="AB105" i="3" s="1"/>
  <c r="AF105" i="3" s="1"/>
  <c r="AB47" i="3" a="1"/>
  <c r="AB47" i="3" s="1"/>
  <c r="AF47" i="3" s="1"/>
  <c r="AB18" i="3" a="1"/>
  <c r="AB18" i="3" s="1"/>
  <c r="AF18" i="3" s="1"/>
  <c r="AB69" i="3" a="1"/>
  <c r="AB69" i="3" s="1"/>
  <c r="AF69" i="3" s="1"/>
  <c r="AB141" i="3" a="1"/>
  <c r="AB141" i="3" s="1"/>
  <c r="AF141" i="3" s="1"/>
  <c r="AB17" i="3" a="1"/>
  <c r="AB17" i="3" s="1"/>
  <c r="AF17" i="3" s="1"/>
  <c r="AH8" i="3"/>
  <c r="U29" i="3"/>
  <c r="AG29" i="3" s="1"/>
  <c r="AB29" i="3" a="1"/>
  <c r="AB29" i="3" s="1"/>
  <c r="AF29" i="3" s="1"/>
  <c r="AE13" i="3"/>
  <c r="AE14" i="3"/>
  <c r="AE22" i="3"/>
  <c r="AE122" i="3"/>
  <c r="AE86" i="3"/>
  <c r="AE50" i="3"/>
  <c r="AE145" i="3"/>
  <c r="AE133" i="3"/>
  <c r="AE121" i="3"/>
  <c r="AE109" i="3"/>
  <c r="AE97" i="3"/>
  <c r="AE85" i="3"/>
  <c r="AE73" i="3"/>
  <c r="AE61" i="3"/>
  <c r="AE49" i="3"/>
  <c r="AE37" i="3"/>
  <c r="AE25" i="3"/>
  <c r="AE156" i="3"/>
  <c r="AE144" i="3"/>
  <c r="AE132" i="3"/>
  <c r="AE120" i="3"/>
  <c r="AE108" i="3"/>
  <c r="AE96" i="3"/>
  <c r="AE84" i="3"/>
  <c r="AE72" i="3"/>
  <c r="AE60" i="3"/>
  <c r="AE48" i="3"/>
  <c r="AE36" i="3"/>
  <c r="AE24" i="3"/>
  <c r="M86" i="3"/>
  <c r="R86" i="3"/>
  <c r="V86" i="3" s="1"/>
  <c r="M98" i="3"/>
  <c r="R98" i="3"/>
  <c r="V98" i="3" s="1"/>
  <c r="M145" i="3"/>
  <c r="R145" i="3"/>
  <c r="V145" i="3" s="1"/>
  <c r="M133" i="3"/>
  <c r="R133" i="3"/>
  <c r="V133" i="3" s="1"/>
  <c r="M121" i="3"/>
  <c r="R121" i="3"/>
  <c r="V121" i="3" s="1"/>
  <c r="M109" i="3"/>
  <c r="R109" i="3"/>
  <c r="V109" i="3" s="1"/>
  <c r="M97" i="3"/>
  <c r="R97" i="3"/>
  <c r="V97" i="3" s="1"/>
  <c r="M85" i="3"/>
  <c r="R85" i="3"/>
  <c r="V85" i="3" s="1"/>
  <c r="M73" i="3"/>
  <c r="R73" i="3"/>
  <c r="V73" i="3" s="1"/>
  <c r="M61" i="3"/>
  <c r="R61" i="3"/>
  <c r="V61" i="3" s="1"/>
  <c r="M49" i="3"/>
  <c r="R49" i="3"/>
  <c r="V49" i="3" s="1"/>
  <c r="M37" i="3"/>
  <c r="R37" i="3"/>
  <c r="V37" i="3" s="1"/>
  <c r="M25" i="3"/>
  <c r="R25" i="3"/>
  <c r="V25" i="3" s="1"/>
  <c r="M13" i="3"/>
  <c r="R13" i="3"/>
  <c r="V13" i="3" s="1"/>
  <c r="M38" i="3"/>
  <c r="R38" i="3"/>
  <c r="V38" i="3" s="1"/>
  <c r="L119" i="3" a="1"/>
  <c r="L119" i="3" s="1"/>
  <c r="Q119" i="3" s="1"/>
  <c r="AK119" i="3" s="1"/>
  <c r="R119" i="3"/>
  <c r="V119" i="3" s="1"/>
  <c r="L59" i="3" a="1"/>
  <c r="L59" i="3" s="1"/>
  <c r="Q59" i="3" s="1"/>
  <c r="AK59" i="3" s="1"/>
  <c r="R59" i="3"/>
  <c r="V59" i="3" s="1"/>
  <c r="L106" i="3" a="1"/>
  <c r="L106" i="3" s="1"/>
  <c r="Q106" i="3" s="1"/>
  <c r="AK106" i="3" s="1"/>
  <c r="R106" i="3"/>
  <c r="V106" i="3" s="1"/>
  <c r="L58" i="3" a="1"/>
  <c r="L58" i="3" s="1"/>
  <c r="Q58" i="3" s="1"/>
  <c r="AK58" i="3" s="1"/>
  <c r="R58" i="3"/>
  <c r="V58" i="3" s="1"/>
  <c r="L34" i="3" a="1"/>
  <c r="L34" i="3" s="1"/>
  <c r="Q34" i="3" s="1"/>
  <c r="AK34" i="3" s="1"/>
  <c r="R34" i="3"/>
  <c r="V34" i="3" s="1"/>
  <c r="L153" i="3" a="1"/>
  <c r="L153" i="3" s="1"/>
  <c r="Q153" i="3" s="1"/>
  <c r="AK153" i="3" s="1"/>
  <c r="R153" i="3"/>
  <c r="V153" i="3" s="1"/>
  <c r="L141" i="3" a="1"/>
  <c r="L141" i="3" s="1"/>
  <c r="Q141" i="3" s="1"/>
  <c r="AK141" i="3" s="1"/>
  <c r="R141" i="3"/>
  <c r="V141" i="3" s="1"/>
  <c r="L129" i="3" a="1"/>
  <c r="L129" i="3" s="1"/>
  <c r="Q129" i="3" s="1"/>
  <c r="AK129" i="3" s="1"/>
  <c r="R129" i="3"/>
  <c r="V129" i="3" s="1"/>
  <c r="L117" i="3" a="1"/>
  <c r="L117" i="3" s="1"/>
  <c r="Q117" i="3" s="1"/>
  <c r="AK117" i="3" s="1"/>
  <c r="R117" i="3"/>
  <c r="V117" i="3" s="1"/>
  <c r="L105" i="3" a="1"/>
  <c r="L105" i="3" s="1"/>
  <c r="Q105" i="3" s="1"/>
  <c r="AK105" i="3" s="1"/>
  <c r="R105" i="3"/>
  <c r="V105" i="3" s="1"/>
  <c r="L93" i="3" a="1"/>
  <c r="L93" i="3" s="1"/>
  <c r="Q93" i="3" s="1"/>
  <c r="AK93" i="3" s="1"/>
  <c r="R93" i="3"/>
  <c r="V93" i="3" s="1"/>
  <c r="L81" i="3" a="1"/>
  <c r="L81" i="3" s="1"/>
  <c r="Q81" i="3" s="1"/>
  <c r="AK81" i="3" s="1"/>
  <c r="R81" i="3"/>
  <c r="V81" i="3" s="1"/>
  <c r="L69" i="3" a="1"/>
  <c r="L69" i="3" s="1"/>
  <c r="Q69" i="3" s="1"/>
  <c r="AK69" i="3" s="1"/>
  <c r="R69" i="3"/>
  <c r="V69" i="3" s="1"/>
  <c r="L57" i="3" a="1"/>
  <c r="L57" i="3" s="1"/>
  <c r="Q57" i="3" s="1"/>
  <c r="AK57" i="3" s="1"/>
  <c r="R57" i="3"/>
  <c r="V57" i="3" s="1"/>
  <c r="L45" i="3" a="1"/>
  <c r="L45" i="3" s="1"/>
  <c r="Q45" i="3" s="1"/>
  <c r="AK45" i="3" s="1"/>
  <c r="R45" i="3"/>
  <c r="V45" i="3" s="1"/>
  <c r="L33" i="3" a="1"/>
  <c r="L33" i="3" s="1"/>
  <c r="Q33" i="3" s="1"/>
  <c r="AK33" i="3" s="1"/>
  <c r="R33" i="3"/>
  <c r="V33" i="3" s="1"/>
  <c r="L21" i="3" a="1"/>
  <c r="L21" i="3" s="1"/>
  <c r="Q21" i="3" s="1"/>
  <c r="AK21" i="3" s="1"/>
  <c r="R21" i="3"/>
  <c r="V21" i="3" s="1"/>
  <c r="L9" i="3" a="1"/>
  <c r="L9" i="3" s="1"/>
  <c r="Q9" i="3" s="1"/>
  <c r="AK9" i="3" s="1"/>
  <c r="R9" i="3"/>
  <c r="V9" i="3" s="1"/>
  <c r="M122" i="3"/>
  <c r="R122" i="3"/>
  <c r="V122" i="3" s="1"/>
  <c r="M50" i="3"/>
  <c r="R50" i="3"/>
  <c r="V50" i="3" s="1"/>
  <c r="L155" i="3" a="1"/>
  <c r="L155" i="3" s="1"/>
  <c r="Q155" i="3" s="1"/>
  <c r="AK155" i="3" s="1"/>
  <c r="R155" i="3"/>
  <c r="V155" i="3" s="1"/>
  <c r="L95" i="3" a="1"/>
  <c r="L95" i="3" s="1"/>
  <c r="Q95" i="3" s="1"/>
  <c r="AK95" i="3" s="1"/>
  <c r="R95" i="3"/>
  <c r="V95" i="3" s="1"/>
  <c r="L23" i="3" a="1"/>
  <c r="L23" i="3" s="1"/>
  <c r="Q23" i="3" s="1"/>
  <c r="R23" i="3"/>
  <c r="V23" i="3" s="1"/>
  <c r="L142" i="3" a="1"/>
  <c r="L142" i="3" s="1"/>
  <c r="Q142" i="3" s="1"/>
  <c r="AK142" i="3" s="1"/>
  <c r="R142" i="3"/>
  <c r="V142" i="3" s="1"/>
  <c r="L70" i="3" a="1"/>
  <c r="L70" i="3" s="1"/>
  <c r="Q70" i="3" s="1"/>
  <c r="AK70" i="3" s="1"/>
  <c r="R70" i="3"/>
  <c r="V70" i="3" s="1"/>
  <c r="L10" i="3" a="1"/>
  <c r="L10" i="3" s="1"/>
  <c r="Q10" i="3" s="1"/>
  <c r="AK10" i="3" s="1"/>
  <c r="R10" i="3"/>
  <c r="V10" i="3" s="1"/>
  <c r="L152" i="3" a="1"/>
  <c r="L152" i="3" s="1"/>
  <c r="Q152" i="3" s="1"/>
  <c r="AK152" i="3" s="1"/>
  <c r="R152" i="3"/>
  <c r="V152" i="3" s="1"/>
  <c r="L140" i="3" a="1"/>
  <c r="L140" i="3" s="1"/>
  <c r="Q140" i="3" s="1"/>
  <c r="AK140" i="3" s="1"/>
  <c r="R140" i="3"/>
  <c r="V140" i="3" s="1"/>
  <c r="L128" i="3" a="1"/>
  <c r="L128" i="3" s="1"/>
  <c r="Q128" i="3" s="1"/>
  <c r="AK128" i="3" s="1"/>
  <c r="R128" i="3"/>
  <c r="V128" i="3" s="1"/>
  <c r="L116" i="3" a="1"/>
  <c r="L116" i="3" s="1"/>
  <c r="Q116" i="3" s="1"/>
  <c r="AK116" i="3" s="1"/>
  <c r="R116" i="3"/>
  <c r="V116" i="3" s="1"/>
  <c r="L104" i="3" a="1"/>
  <c r="L104" i="3" s="1"/>
  <c r="Q104" i="3" s="1"/>
  <c r="AK104" i="3" s="1"/>
  <c r="R104" i="3"/>
  <c r="V104" i="3" s="1"/>
  <c r="L92" i="3" a="1"/>
  <c r="L92" i="3" s="1"/>
  <c r="Q92" i="3" s="1"/>
  <c r="AK92" i="3" s="1"/>
  <c r="R92" i="3"/>
  <c r="V92" i="3" s="1"/>
  <c r="L80" i="3" a="1"/>
  <c r="L80" i="3" s="1"/>
  <c r="Q80" i="3" s="1"/>
  <c r="AK80" i="3" s="1"/>
  <c r="R80" i="3"/>
  <c r="V80" i="3" s="1"/>
  <c r="L68" i="3" a="1"/>
  <c r="L68" i="3" s="1"/>
  <c r="Q68" i="3" s="1"/>
  <c r="AK68" i="3" s="1"/>
  <c r="R68" i="3"/>
  <c r="V68" i="3" s="1"/>
  <c r="L56" i="3" a="1"/>
  <c r="L56" i="3" s="1"/>
  <c r="Q56" i="3" s="1"/>
  <c r="AK56" i="3" s="1"/>
  <c r="R56" i="3"/>
  <c r="V56" i="3" s="1"/>
  <c r="L44" i="3" a="1"/>
  <c r="L44" i="3" s="1"/>
  <c r="Q44" i="3" s="1"/>
  <c r="AK44" i="3" s="1"/>
  <c r="R44" i="3"/>
  <c r="V44" i="3" s="1"/>
  <c r="L32" i="3" a="1"/>
  <c r="L32" i="3" s="1"/>
  <c r="Q32" i="3" s="1"/>
  <c r="AK32" i="3" s="1"/>
  <c r="R32" i="3"/>
  <c r="V32" i="3" s="1"/>
  <c r="L20" i="3" a="1"/>
  <c r="L20" i="3" s="1"/>
  <c r="Q20" i="3" s="1"/>
  <c r="AK20" i="3" s="1"/>
  <c r="R20" i="3"/>
  <c r="V20" i="3" s="1"/>
  <c r="M74" i="3"/>
  <c r="R74" i="3"/>
  <c r="V74" i="3" s="1"/>
  <c r="L107" i="3" a="1"/>
  <c r="L107" i="3" s="1"/>
  <c r="Q107" i="3" s="1"/>
  <c r="AK107" i="3" s="1"/>
  <c r="R107" i="3"/>
  <c r="V107" i="3" s="1"/>
  <c r="L47" i="3" a="1"/>
  <c r="L47" i="3" s="1"/>
  <c r="Q47" i="3" s="1"/>
  <c r="AK47" i="3" s="1"/>
  <c r="R47" i="3"/>
  <c r="V47" i="3" s="1"/>
  <c r="L154" i="3" a="1"/>
  <c r="L154" i="3" s="1"/>
  <c r="Q154" i="3" s="1"/>
  <c r="AK154" i="3" s="1"/>
  <c r="R154" i="3"/>
  <c r="V154" i="3" s="1"/>
  <c r="L82" i="3" a="1"/>
  <c r="L82" i="3" s="1"/>
  <c r="Q82" i="3" s="1"/>
  <c r="AK82" i="3" s="1"/>
  <c r="R82" i="3"/>
  <c r="V82" i="3" s="1"/>
  <c r="L22" i="3" a="1"/>
  <c r="L22" i="3" s="1"/>
  <c r="Q22" i="3" s="1"/>
  <c r="AK22" i="3" s="1"/>
  <c r="R22" i="3"/>
  <c r="V22" i="3" s="1"/>
  <c r="L151" i="3" a="1"/>
  <c r="L151" i="3" s="1"/>
  <c r="Q151" i="3" s="1"/>
  <c r="AK151" i="3" s="1"/>
  <c r="R151" i="3"/>
  <c r="V151" i="3" s="1"/>
  <c r="L139" i="3" a="1"/>
  <c r="L139" i="3" s="1"/>
  <c r="Q139" i="3" s="1"/>
  <c r="AK139" i="3" s="1"/>
  <c r="R139" i="3"/>
  <c r="V139" i="3" s="1"/>
  <c r="L127" i="3" a="1"/>
  <c r="L127" i="3" s="1"/>
  <c r="Q127" i="3" s="1"/>
  <c r="AK127" i="3" s="1"/>
  <c r="R127" i="3"/>
  <c r="V127" i="3" s="1"/>
  <c r="L115" i="3" a="1"/>
  <c r="L115" i="3" s="1"/>
  <c r="Q115" i="3" s="1"/>
  <c r="AK115" i="3" s="1"/>
  <c r="R115" i="3"/>
  <c r="V115" i="3" s="1"/>
  <c r="L103" i="3" a="1"/>
  <c r="L103" i="3" s="1"/>
  <c r="Q103" i="3" s="1"/>
  <c r="AK103" i="3" s="1"/>
  <c r="R103" i="3"/>
  <c r="V103" i="3" s="1"/>
  <c r="L91" i="3" a="1"/>
  <c r="L91" i="3" s="1"/>
  <c r="Q91" i="3" s="1"/>
  <c r="AK91" i="3" s="1"/>
  <c r="R91" i="3"/>
  <c r="V91" i="3" s="1"/>
  <c r="L79" i="3" a="1"/>
  <c r="L79" i="3" s="1"/>
  <c r="Q79" i="3" s="1"/>
  <c r="AK79" i="3" s="1"/>
  <c r="R79" i="3"/>
  <c r="V79" i="3" s="1"/>
  <c r="L67" i="3" a="1"/>
  <c r="L67" i="3" s="1"/>
  <c r="Q67" i="3" s="1"/>
  <c r="AK67" i="3" s="1"/>
  <c r="R67" i="3"/>
  <c r="V67" i="3" s="1"/>
  <c r="L55" i="3" a="1"/>
  <c r="L55" i="3" s="1"/>
  <c r="Q55" i="3" s="1"/>
  <c r="AK55" i="3" s="1"/>
  <c r="R55" i="3"/>
  <c r="V55" i="3" s="1"/>
  <c r="L43" i="3" a="1"/>
  <c r="L43" i="3" s="1"/>
  <c r="Q43" i="3" s="1"/>
  <c r="AK43" i="3" s="1"/>
  <c r="R43" i="3"/>
  <c r="V43" i="3" s="1"/>
  <c r="L31" i="3" a="1"/>
  <c r="L31" i="3" s="1"/>
  <c r="Q31" i="3" s="1"/>
  <c r="AK31" i="3" s="1"/>
  <c r="R31" i="3"/>
  <c r="V31" i="3" s="1"/>
  <c r="L19" i="3" a="1"/>
  <c r="L19" i="3" s="1"/>
  <c r="Q19" i="3" s="1"/>
  <c r="AK19" i="3" s="1"/>
  <c r="R19" i="3"/>
  <c r="V19" i="3" s="1"/>
  <c r="L7" i="3" a="1"/>
  <c r="L7" i="3" s="1"/>
  <c r="Q7" i="3" s="1"/>
  <c r="AK7" i="3" s="1"/>
  <c r="R7" i="3"/>
  <c r="V7" i="3" s="1"/>
  <c r="M110" i="3"/>
  <c r="R110" i="3"/>
  <c r="V110" i="3" s="1"/>
  <c r="L71" i="3" a="1"/>
  <c r="L71" i="3" s="1"/>
  <c r="Q71" i="3" s="1"/>
  <c r="AK71" i="3" s="1"/>
  <c r="R71" i="3"/>
  <c r="V71" i="3" s="1"/>
  <c r="L94" i="3" a="1"/>
  <c r="L94" i="3" s="1"/>
  <c r="Q94" i="3" s="1"/>
  <c r="AK94" i="3" s="1"/>
  <c r="R94" i="3"/>
  <c r="V94" i="3" s="1"/>
  <c r="L46" i="3" a="1"/>
  <c r="L46" i="3" s="1"/>
  <c r="Q46" i="3" s="1"/>
  <c r="AK46" i="3" s="1"/>
  <c r="R46" i="3"/>
  <c r="V46" i="3" s="1"/>
  <c r="AE155" i="3"/>
  <c r="AE143" i="3"/>
  <c r="AE131" i="3"/>
  <c r="AE119" i="3"/>
  <c r="AE107" i="3"/>
  <c r="AE95" i="3"/>
  <c r="AE83" i="3"/>
  <c r="AE71" i="3"/>
  <c r="AE59" i="3"/>
  <c r="AE47" i="3"/>
  <c r="AE35" i="3"/>
  <c r="AE23" i="3"/>
  <c r="L150" i="3" a="1"/>
  <c r="L150" i="3" s="1"/>
  <c r="Q150" i="3" s="1"/>
  <c r="AK150" i="3" s="1"/>
  <c r="R150" i="3"/>
  <c r="V150" i="3" s="1"/>
  <c r="L138" i="3" a="1"/>
  <c r="L138" i="3" s="1"/>
  <c r="Q138" i="3" s="1"/>
  <c r="AK138" i="3" s="1"/>
  <c r="R138" i="3"/>
  <c r="V138" i="3" s="1"/>
  <c r="L126" i="3" a="1"/>
  <c r="L126" i="3" s="1"/>
  <c r="Q126" i="3" s="1"/>
  <c r="AK126" i="3" s="1"/>
  <c r="R126" i="3"/>
  <c r="V126" i="3" s="1"/>
  <c r="L114" i="3" a="1"/>
  <c r="L114" i="3" s="1"/>
  <c r="Q114" i="3" s="1"/>
  <c r="AK114" i="3" s="1"/>
  <c r="R114" i="3"/>
  <c r="V114" i="3" s="1"/>
  <c r="L102" i="3" a="1"/>
  <c r="L102" i="3" s="1"/>
  <c r="Q102" i="3" s="1"/>
  <c r="AK102" i="3" s="1"/>
  <c r="R102" i="3"/>
  <c r="V102" i="3" s="1"/>
  <c r="L90" i="3" a="1"/>
  <c r="L90" i="3" s="1"/>
  <c r="Q90" i="3" s="1"/>
  <c r="AK90" i="3" s="1"/>
  <c r="R90" i="3"/>
  <c r="V90" i="3" s="1"/>
  <c r="L78" i="3" a="1"/>
  <c r="L78" i="3" s="1"/>
  <c r="Q78" i="3" s="1"/>
  <c r="AK78" i="3" s="1"/>
  <c r="R78" i="3"/>
  <c r="V78" i="3" s="1"/>
  <c r="L66" i="3" a="1"/>
  <c r="L66" i="3" s="1"/>
  <c r="Q66" i="3" s="1"/>
  <c r="AK66" i="3" s="1"/>
  <c r="R66" i="3"/>
  <c r="V66" i="3" s="1"/>
  <c r="L54" i="3" a="1"/>
  <c r="L54" i="3" s="1"/>
  <c r="Q54" i="3" s="1"/>
  <c r="AK54" i="3" s="1"/>
  <c r="R54" i="3"/>
  <c r="V54" i="3" s="1"/>
  <c r="L42" i="3" a="1"/>
  <c r="L42" i="3" s="1"/>
  <c r="Q42" i="3" s="1"/>
  <c r="AK42" i="3" s="1"/>
  <c r="R42" i="3"/>
  <c r="V42" i="3" s="1"/>
  <c r="L30" i="3" a="1"/>
  <c r="L30" i="3" s="1"/>
  <c r="Q30" i="3" s="1"/>
  <c r="AK30" i="3" s="1"/>
  <c r="R30" i="3"/>
  <c r="V30" i="3" s="1"/>
  <c r="L18" i="3" a="1"/>
  <c r="L18" i="3" s="1"/>
  <c r="Q18" i="3" s="1"/>
  <c r="AK18" i="3" s="1"/>
  <c r="R18" i="3"/>
  <c r="V18" i="3" s="1"/>
  <c r="M62" i="3"/>
  <c r="R62" i="3"/>
  <c r="V62" i="3" s="1"/>
  <c r="U83" i="3"/>
  <c r="AG83" i="3" s="1"/>
  <c r="L131" i="3" a="1"/>
  <c r="L131" i="3" s="1"/>
  <c r="Q131" i="3" s="1"/>
  <c r="AK131" i="3" s="1"/>
  <c r="R131" i="3"/>
  <c r="V131" i="3" s="1"/>
  <c r="L35" i="3" a="1"/>
  <c r="L35" i="3" s="1"/>
  <c r="Q35" i="3" s="1"/>
  <c r="AK35" i="3" s="1"/>
  <c r="R35" i="3"/>
  <c r="V35" i="3" s="1"/>
  <c r="L118" i="3" a="1"/>
  <c r="L118" i="3" s="1"/>
  <c r="Q118" i="3" s="1"/>
  <c r="AK118" i="3" s="1"/>
  <c r="R118" i="3"/>
  <c r="V118" i="3" s="1"/>
  <c r="AA9" i="3"/>
  <c r="AE154" i="3"/>
  <c r="AE142" i="3"/>
  <c r="AE130" i="3"/>
  <c r="AE118" i="3"/>
  <c r="AE106" i="3"/>
  <c r="AE94" i="3"/>
  <c r="AE82" i="3"/>
  <c r="AE70" i="3"/>
  <c r="AE58" i="3"/>
  <c r="AE46" i="3"/>
  <c r="AE34" i="3"/>
  <c r="L149" i="3" a="1"/>
  <c r="L149" i="3" s="1"/>
  <c r="Q149" i="3" s="1"/>
  <c r="AK149" i="3" s="1"/>
  <c r="R149" i="3"/>
  <c r="V149" i="3" s="1"/>
  <c r="L137" i="3" a="1"/>
  <c r="L137" i="3" s="1"/>
  <c r="Q137" i="3" s="1"/>
  <c r="AK137" i="3" s="1"/>
  <c r="R137" i="3"/>
  <c r="V137" i="3" s="1"/>
  <c r="L125" i="3" a="1"/>
  <c r="L125" i="3" s="1"/>
  <c r="Q125" i="3" s="1"/>
  <c r="AK125" i="3" s="1"/>
  <c r="R125" i="3"/>
  <c r="V125" i="3" s="1"/>
  <c r="L113" i="3" a="1"/>
  <c r="L113" i="3" s="1"/>
  <c r="Q113" i="3" s="1"/>
  <c r="AK113" i="3" s="1"/>
  <c r="R113" i="3"/>
  <c r="V113" i="3" s="1"/>
  <c r="L101" i="3" a="1"/>
  <c r="L101" i="3" s="1"/>
  <c r="Q101" i="3" s="1"/>
  <c r="AK101" i="3" s="1"/>
  <c r="R101" i="3"/>
  <c r="V101" i="3" s="1"/>
  <c r="L89" i="3" a="1"/>
  <c r="L89" i="3" s="1"/>
  <c r="Q89" i="3" s="1"/>
  <c r="AK89" i="3" s="1"/>
  <c r="R89" i="3"/>
  <c r="V89" i="3" s="1"/>
  <c r="L77" i="3" a="1"/>
  <c r="L77" i="3" s="1"/>
  <c r="Q77" i="3" s="1"/>
  <c r="AK77" i="3" s="1"/>
  <c r="R77" i="3"/>
  <c r="V77" i="3" s="1"/>
  <c r="L65" i="3" a="1"/>
  <c r="L65" i="3" s="1"/>
  <c r="Q65" i="3" s="1"/>
  <c r="AK65" i="3" s="1"/>
  <c r="R65" i="3"/>
  <c r="V65" i="3" s="1"/>
  <c r="L53" i="3" a="1"/>
  <c r="L53" i="3" s="1"/>
  <c r="Q53" i="3" s="1"/>
  <c r="AK53" i="3" s="1"/>
  <c r="R53" i="3"/>
  <c r="V53" i="3" s="1"/>
  <c r="L41" i="3" a="1"/>
  <c r="L41" i="3" s="1"/>
  <c r="Q41" i="3" s="1"/>
  <c r="AK41" i="3" s="1"/>
  <c r="R41" i="3"/>
  <c r="V41" i="3" s="1"/>
  <c r="L29" i="3" a="1"/>
  <c r="L29" i="3" s="1"/>
  <c r="Q29" i="3" s="1"/>
  <c r="AK29" i="3" s="1"/>
  <c r="R29" i="3"/>
  <c r="V29" i="3" s="1"/>
  <c r="L17" i="3" a="1"/>
  <c r="L17" i="3" s="1"/>
  <c r="Q17" i="3" s="1"/>
  <c r="AK17" i="3" s="1"/>
  <c r="R17" i="3"/>
  <c r="V17" i="3" s="1"/>
  <c r="M134" i="3"/>
  <c r="R134" i="3"/>
  <c r="V134" i="3" s="1"/>
  <c r="M26" i="3"/>
  <c r="R26" i="3"/>
  <c r="V26" i="3" s="1"/>
  <c r="L143" i="3" a="1"/>
  <c r="L143" i="3" s="1"/>
  <c r="Q143" i="3" s="1"/>
  <c r="AK143" i="3" s="1"/>
  <c r="R143" i="3"/>
  <c r="V143" i="3" s="1"/>
  <c r="L83" i="3" a="1"/>
  <c r="L83" i="3" s="1"/>
  <c r="Q83" i="3" s="1"/>
  <c r="AK83" i="3" s="1"/>
  <c r="R83" i="3"/>
  <c r="V83" i="3" s="1"/>
  <c r="L130" i="3" a="1"/>
  <c r="L130" i="3" s="1"/>
  <c r="Q130" i="3" s="1"/>
  <c r="AK130" i="3" s="1"/>
  <c r="R130" i="3"/>
  <c r="V130" i="3" s="1"/>
  <c r="L148" i="3" a="1"/>
  <c r="L148" i="3" s="1"/>
  <c r="Q148" i="3" s="1"/>
  <c r="AK148" i="3" s="1"/>
  <c r="R148" i="3"/>
  <c r="V148" i="3" s="1"/>
  <c r="L136" i="3" a="1"/>
  <c r="L136" i="3" s="1"/>
  <c r="Q136" i="3" s="1"/>
  <c r="AK136" i="3" s="1"/>
  <c r="R136" i="3"/>
  <c r="V136" i="3" s="1"/>
  <c r="L124" i="3" a="1"/>
  <c r="L124" i="3" s="1"/>
  <c r="Q124" i="3" s="1"/>
  <c r="AK124" i="3" s="1"/>
  <c r="R124" i="3"/>
  <c r="V124" i="3" s="1"/>
  <c r="L112" i="3" a="1"/>
  <c r="L112" i="3" s="1"/>
  <c r="Q112" i="3" s="1"/>
  <c r="AK112" i="3" s="1"/>
  <c r="R112" i="3"/>
  <c r="V112" i="3" s="1"/>
  <c r="L100" i="3" a="1"/>
  <c r="L100" i="3" s="1"/>
  <c r="Q100" i="3" s="1"/>
  <c r="AK100" i="3" s="1"/>
  <c r="R100" i="3"/>
  <c r="V100" i="3" s="1"/>
  <c r="L88" i="3" a="1"/>
  <c r="L88" i="3" s="1"/>
  <c r="Q88" i="3" s="1"/>
  <c r="AK88" i="3" s="1"/>
  <c r="R88" i="3"/>
  <c r="V88" i="3" s="1"/>
  <c r="L76" i="3" a="1"/>
  <c r="L76" i="3" s="1"/>
  <c r="Q76" i="3" s="1"/>
  <c r="AK76" i="3" s="1"/>
  <c r="R76" i="3"/>
  <c r="V76" i="3" s="1"/>
  <c r="L64" i="3" a="1"/>
  <c r="L64" i="3" s="1"/>
  <c r="Q64" i="3" s="1"/>
  <c r="AK64" i="3" s="1"/>
  <c r="R64" i="3"/>
  <c r="V64" i="3" s="1"/>
  <c r="L52" i="3" a="1"/>
  <c r="L52" i="3" s="1"/>
  <c r="Q52" i="3" s="1"/>
  <c r="AK52" i="3" s="1"/>
  <c r="R52" i="3"/>
  <c r="V52" i="3" s="1"/>
  <c r="L40" i="3" a="1"/>
  <c r="L40" i="3" s="1"/>
  <c r="Q40" i="3" s="1"/>
  <c r="AK40" i="3" s="1"/>
  <c r="R40" i="3"/>
  <c r="V40" i="3" s="1"/>
  <c r="L28" i="3" a="1"/>
  <c r="L28" i="3" s="1"/>
  <c r="Q28" i="3" s="1"/>
  <c r="AK28" i="3" s="1"/>
  <c r="R28" i="3"/>
  <c r="V28" i="3" s="1"/>
  <c r="L16" i="3" a="1"/>
  <c r="L16" i="3" s="1"/>
  <c r="Q16" i="3" s="1"/>
  <c r="AK16" i="3" s="1"/>
  <c r="R16" i="3"/>
  <c r="V16" i="3" s="1"/>
  <c r="M146" i="3"/>
  <c r="R146" i="3"/>
  <c r="V146" i="3" s="1"/>
  <c r="M14" i="3"/>
  <c r="R14" i="3"/>
  <c r="V14" i="3" s="1"/>
  <c r="L11" i="3" a="1"/>
  <c r="L11" i="3" s="1"/>
  <c r="Q11" i="3" s="1"/>
  <c r="AK11" i="3" s="1"/>
  <c r="R11" i="3"/>
  <c r="V11" i="3" s="1"/>
  <c r="AE152" i="3"/>
  <c r="AE140" i="3"/>
  <c r="AE128" i="3"/>
  <c r="AE116" i="3"/>
  <c r="AE104" i="3"/>
  <c r="AE92" i="3"/>
  <c r="AE80" i="3"/>
  <c r="AE68" i="3"/>
  <c r="AE56" i="3"/>
  <c r="AE44" i="3"/>
  <c r="AE32" i="3"/>
  <c r="M147" i="3"/>
  <c r="R147" i="3"/>
  <c r="V147" i="3" s="1"/>
  <c r="M135" i="3"/>
  <c r="R135" i="3"/>
  <c r="V135" i="3" s="1"/>
  <c r="M123" i="3"/>
  <c r="R123" i="3"/>
  <c r="V123" i="3" s="1"/>
  <c r="M111" i="3"/>
  <c r="R111" i="3"/>
  <c r="V111" i="3" s="1"/>
  <c r="M99" i="3"/>
  <c r="R99" i="3"/>
  <c r="V99" i="3" s="1"/>
  <c r="M87" i="3"/>
  <c r="R87" i="3"/>
  <c r="V87" i="3" s="1"/>
  <c r="M75" i="3"/>
  <c r="R75" i="3"/>
  <c r="V75" i="3" s="1"/>
  <c r="M63" i="3"/>
  <c r="R63" i="3"/>
  <c r="V63" i="3" s="1"/>
  <c r="M51" i="3"/>
  <c r="R51" i="3"/>
  <c r="V51" i="3" s="1"/>
  <c r="M39" i="3"/>
  <c r="R39" i="3"/>
  <c r="V39" i="3" s="1"/>
  <c r="M27" i="3"/>
  <c r="R27" i="3"/>
  <c r="V27" i="3" s="1"/>
  <c r="M15" i="3"/>
  <c r="R15" i="3"/>
  <c r="V15" i="3" s="1"/>
  <c r="L8" i="3" a="1"/>
  <c r="L8" i="3" s="1"/>
  <c r="Q8" i="3" s="1"/>
  <c r="AF126" i="3"/>
  <c r="AF56" i="3"/>
  <c r="AF41" i="3"/>
  <c r="AE89" i="3"/>
  <c r="AE100" i="3"/>
  <c r="U87" i="3"/>
  <c r="AG87" i="3" s="1"/>
  <c r="AE101" i="3"/>
  <c r="AE65" i="3"/>
  <c r="AE53" i="3"/>
  <c r="AE17" i="3"/>
  <c r="AE148" i="3"/>
  <c r="AE124" i="3"/>
  <c r="AE88" i="3"/>
  <c r="AE98" i="3"/>
  <c r="AE38" i="3"/>
  <c r="U58" i="3"/>
  <c r="AG58" i="3" s="1"/>
  <c r="AE12" i="3"/>
  <c r="G11" i="3"/>
  <c r="U11" i="3" s="1"/>
  <c r="AA12" i="3"/>
  <c r="G7" i="3"/>
  <c r="AB7" i="3" s="1" a="1"/>
  <c r="AB7" i="3" s="1"/>
  <c r="C113" i="9"/>
  <c r="C103" i="9" s="1"/>
  <c r="C115" i="9"/>
  <c r="C104" i="9" s="1"/>
  <c r="AE110" i="3"/>
  <c r="AF78" i="3"/>
  <c r="AE16" i="3"/>
  <c r="M59" i="3"/>
  <c r="M57" i="3"/>
  <c r="AE149" i="3"/>
  <c r="AE77" i="3"/>
  <c r="M11" i="3"/>
  <c r="AE113" i="3"/>
  <c r="AE112" i="3"/>
  <c r="AE76" i="3"/>
  <c r="AE41" i="3"/>
  <c r="M9" i="3"/>
  <c r="AE137" i="3"/>
  <c r="AE146" i="3"/>
  <c r="AE136" i="3"/>
  <c r="AE64" i="3"/>
  <c r="AE134" i="3"/>
  <c r="AE29" i="3"/>
  <c r="M155" i="3"/>
  <c r="AE74" i="3"/>
  <c r="AE125" i="3"/>
  <c r="AE62" i="3"/>
  <c r="AE28" i="3"/>
  <c r="M153" i="3"/>
  <c r="M107" i="3"/>
  <c r="AF138" i="3"/>
  <c r="AE26" i="3"/>
  <c r="M105" i="3"/>
  <c r="AX11" i="10"/>
  <c r="BD10" i="10"/>
  <c r="AW10" i="10"/>
  <c r="AW11" i="10"/>
  <c r="BD12" i="10"/>
  <c r="AX12" i="10"/>
  <c r="AY12" i="10"/>
  <c r="BB12" i="10"/>
  <c r="BA11" i="10"/>
  <c r="BB11" i="10"/>
  <c r="BD11" i="10"/>
  <c r="F10" i="10"/>
  <c r="C77" i="9"/>
  <c r="N8" i="10"/>
  <c r="F11" i="10"/>
  <c r="U59" i="3"/>
  <c r="AG59" i="3" s="1"/>
  <c r="U60" i="3"/>
  <c r="AG60" i="3" s="1"/>
  <c r="M149" i="3"/>
  <c r="M101" i="3"/>
  <c r="M53" i="3"/>
  <c r="M143" i="3"/>
  <c r="M95" i="3"/>
  <c r="M47" i="3"/>
  <c r="M141" i="3"/>
  <c r="M93" i="3"/>
  <c r="M45" i="3"/>
  <c r="M137" i="3"/>
  <c r="M89" i="3"/>
  <c r="M41" i="3"/>
  <c r="M131" i="3"/>
  <c r="M83" i="3"/>
  <c r="M35" i="3"/>
  <c r="M129" i="3"/>
  <c r="M81" i="3"/>
  <c r="M33" i="3"/>
  <c r="M125" i="3"/>
  <c r="M77" i="3"/>
  <c r="M29" i="3"/>
  <c r="M119" i="3"/>
  <c r="M71" i="3"/>
  <c r="M23" i="3"/>
  <c r="M117" i="3"/>
  <c r="M69" i="3"/>
  <c r="M21" i="3"/>
  <c r="M113" i="3"/>
  <c r="M65" i="3"/>
  <c r="M17" i="3"/>
  <c r="X8" i="3"/>
  <c r="AB8" i="3" s="1" a="1"/>
  <c r="AB8" i="3" s="1"/>
  <c r="U8" i="3"/>
  <c r="X10" i="3"/>
  <c r="AB10" i="3" s="1" a="1"/>
  <c r="AB10" i="3" s="1"/>
  <c r="U10" i="3"/>
  <c r="X9" i="3"/>
  <c r="AE9" i="3" s="1"/>
  <c r="U9" i="3"/>
  <c r="X11" i="3"/>
  <c r="M156" i="3"/>
  <c r="L156" i="3" a="1"/>
  <c r="L156" i="3" s="1"/>
  <c r="Q156" i="3" s="1"/>
  <c r="S156" i="3" s="1"/>
  <c r="M144" i="3"/>
  <c r="L144" i="3" a="1"/>
  <c r="L144" i="3" s="1"/>
  <c r="Q144" i="3" s="1"/>
  <c r="AK144" i="3" s="1"/>
  <c r="M132" i="3"/>
  <c r="L132" i="3" a="1"/>
  <c r="L132" i="3" s="1"/>
  <c r="Q132" i="3" s="1"/>
  <c r="AK132" i="3" s="1"/>
  <c r="M120" i="3"/>
  <c r="L120" i="3" a="1"/>
  <c r="L120" i="3" s="1"/>
  <c r="Q120" i="3" s="1"/>
  <c r="AK120" i="3" s="1"/>
  <c r="M108" i="3"/>
  <c r="L108" i="3" a="1"/>
  <c r="L108" i="3" s="1"/>
  <c r="Q108" i="3" s="1"/>
  <c r="AK108" i="3" s="1"/>
  <c r="M96" i="3"/>
  <c r="L96" i="3" a="1"/>
  <c r="L96" i="3" s="1"/>
  <c r="Q96" i="3" s="1"/>
  <c r="AK96" i="3" s="1"/>
  <c r="M84" i="3"/>
  <c r="L84" i="3" a="1"/>
  <c r="L84" i="3" s="1"/>
  <c r="Q84" i="3" s="1"/>
  <c r="AK84" i="3" s="1"/>
  <c r="M72" i="3"/>
  <c r="L72" i="3" a="1"/>
  <c r="L72" i="3" s="1"/>
  <c r="Q72" i="3" s="1"/>
  <c r="AK72" i="3" s="1"/>
  <c r="M60" i="3"/>
  <c r="L60" i="3" a="1"/>
  <c r="L60" i="3" s="1"/>
  <c r="Q60" i="3" s="1"/>
  <c r="AK60" i="3" s="1"/>
  <c r="M48" i="3"/>
  <c r="L48" i="3" a="1"/>
  <c r="L48" i="3" s="1"/>
  <c r="Q48" i="3" s="1"/>
  <c r="AK48" i="3" s="1"/>
  <c r="M36" i="3"/>
  <c r="L36" i="3" a="1"/>
  <c r="L36" i="3" s="1"/>
  <c r="Q36" i="3" s="1"/>
  <c r="AK36" i="3" s="1"/>
  <c r="M24" i="3"/>
  <c r="L24" i="3" a="1"/>
  <c r="L24" i="3" s="1"/>
  <c r="Q24" i="3" s="1"/>
  <c r="AK24" i="3" s="1"/>
  <c r="M12" i="3"/>
  <c r="L12" i="3" a="1"/>
  <c r="L12" i="3" s="1"/>
  <c r="Q12" i="3" s="1"/>
  <c r="AK12" i="3" s="1"/>
  <c r="M154" i="3"/>
  <c r="M142" i="3"/>
  <c r="M130" i="3"/>
  <c r="M118" i="3"/>
  <c r="M106" i="3"/>
  <c r="M94" i="3"/>
  <c r="M82" i="3"/>
  <c r="M70" i="3"/>
  <c r="M58" i="3"/>
  <c r="M46" i="3"/>
  <c r="M34" i="3"/>
  <c r="M22" i="3"/>
  <c r="M10" i="3"/>
  <c r="L147" i="3" a="1"/>
  <c r="L147" i="3" s="1"/>
  <c r="Q147" i="3" s="1"/>
  <c r="AK147" i="3" s="1"/>
  <c r="L135" i="3" a="1"/>
  <c r="L135" i="3" s="1"/>
  <c r="Q135" i="3" s="1"/>
  <c r="AK135" i="3" s="1"/>
  <c r="L123" i="3" a="1"/>
  <c r="L123" i="3" s="1"/>
  <c r="Q123" i="3" s="1"/>
  <c r="AK123" i="3" s="1"/>
  <c r="L111" i="3" a="1"/>
  <c r="L111" i="3" s="1"/>
  <c r="Q111" i="3" s="1"/>
  <c r="AK111" i="3" s="1"/>
  <c r="L99" i="3" a="1"/>
  <c r="L99" i="3" s="1"/>
  <c r="Q99" i="3" s="1"/>
  <c r="AK99" i="3" s="1"/>
  <c r="L87" i="3" a="1"/>
  <c r="L87" i="3" s="1"/>
  <c r="Q87" i="3" s="1"/>
  <c r="AK87" i="3" s="1"/>
  <c r="L75" i="3" a="1"/>
  <c r="L75" i="3" s="1"/>
  <c r="Q75" i="3" s="1"/>
  <c r="AK75" i="3" s="1"/>
  <c r="L63" i="3" a="1"/>
  <c r="L63" i="3" s="1"/>
  <c r="Q63" i="3" s="1"/>
  <c r="AK63" i="3" s="1"/>
  <c r="L51" i="3" a="1"/>
  <c r="L51" i="3" s="1"/>
  <c r="Q51" i="3" s="1"/>
  <c r="AK51" i="3" s="1"/>
  <c r="L39" i="3" a="1"/>
  <c r="L39" i="3" s="1"/>
  <c r="Q39" i="3" s="1"/>
  <c r="AK39" i="3" s="1"/>
  <c r="L27" i="3" a="1"/>
  <c r="L27" i="3" s="1"/>
  <c r="Q27" i="3" s="1"/>
  <c r="AK27" i="3" s="1"/>
  <c r="L15" i="3" a="1"/>
  <c r="L15" i="3" s="1"/>
  <c r="Q15" i="3" s="1"/>
  <c r="L146" i="3" a="1"/>
  <c r="L146" i="3" s="1"/>
  <c r="Q146" i="3" s="1"/>
  <c r="AK146" i="3" s="1"/>
  <c r="L134" i="3" a="1"/>
  <c r="L134" i="3" s="1"/>
  <c r="Q134" i="3" s="1"/>
  <c r="AK134" i="3" s="1"/>
  <c r="L122" i="3" a="1"/>
  <c r="L122" i="3" s="1"/>
  <c r="Q122" i="3" s="1"/>
  <c r="AK122" i="3" s="1"/>
  <c r="L110" i="3" a="1"/>
  <c r="L110" i="3" s="1"/>
  <c r="Q110" i="3" s="1"/>
  <c r="AK110" i="3" s="1"/>
  <c r="L98" i="3" a="1"/>
  <c r="L98" i="3" s="1"/>
  <c r="Q98" i="3" s="1"/>
  <c r="AK98" i="3" s="1"/>
  <c r="L86" i="3" a="1"/>
  <c r="L86" i="3" s="1"/>
  <c r="Q86" i="3" s="1"/>
  <c r="AK86" i="3" s="1"/>
  <c r="L74" i="3" a="1"/>
  <c r="L74" i="3" s="1"/>
  <c r="Q74" i="3" s="1"/>
  <c r="AK74" i="3" s="1"/>
  <c r="L62" i="3" a="1"/>
  <c r="L62" i="3" s="1"/>
  <c r="Q62" i="3" s="1"/>
  <c r="AK62" i="3" s="1"/>
  <c r="L50" i="3" a="1"/>
  <c r="L50" i="3" s="1"/>
  <c r="Q50" i="3" s="1"/>
  <c r="AK50" i="3" s="1"/>
  <c r="L38" i="3" a="1"/>
  <c r="L38" i="3" s="1"/>
  <c r="Q38" i="3" s="1"/>
  <c r="AK38" i="3" s="1"/>
  <c r="L26" i="3" a="1"/>
  <c r="L26" i="3" s="1"/>
  <c r="Q26" i="3" s="1"/>
  <c r="AK26" i="3" s="1"/>
  <c r="L14" i="3" a="1"/>
  <c r="L14" i="3" s="1"/>
  <c r="Q14" i="3" s="1"/>
  <c r="AK14" i="3" s="1"/>
  <c r="M152" i="3"/>
  <c r="M140" i="3"/>
  <c r="M128" i="3"/>
  <c r="M116" i="3"/>
  <c r="M104" i="3"/>
  <c r="M92" i="3"/>
  <c r="M80" i="3"/>
  <c r="M68" i="3"/>
  <c r="M56" i="3"/>
  <c r="M44" i="3"/>
  <c r="M32" i="3"/>
  <c r="M20" i="3"/>
  <c r="M8" i="3"/>
  <c r="L145" i="3" a="1"/>
  <c r="L145" i="3" s="1"/>
  <c r="Q145" i="3" s="1"/>
  <c r="AK145" i="3" s="1"/>
  <c r="L133" i="3" a="1"/>
  <c r="L133" i="3" s="1"/>
  <c r="Q133" i="3" s="1"/>
  <c r="AK133" i="3" s="1"/>
  <c r="L121" i="3" a="1"/>
  <c r="L121" i="3" s="1"/>
  <c r="Q121" i="3" s="1"/>
  <c r="AK121" i="3" s="1"/>
  <c r="L109" i="3" a="1"/>
  <c r="L109" i="3" s="1"/>
  <c r="Q109" i="3" s="1"/>
  <c r="AK109" i="3" s="1"/>
  <c r="L97" i="3" a="1"/>
  <c r="L97" i="3" s="1"/>
  <c r="Q97" i="3" s="1"/>
  <c r="AK97" i="3" s="1"/>
  <c r="L85" i="3" a="1"/>
  <c r="L85" i="3" s="1"/>
  <c r="Q85" i="3" s="1"/>
  <c r="AK85" i="3" s="1"/>
  <c r="L73" i="3" a="1"/>
  <c r="L73" i="3" s="1"/>
  <c r="Q73" i="3" s="1"/>
  <c r="AK73" i="3" s="1"/>
  <c r="L61" i="3" a="1"/>
  <c r="L61" i="3" s="1"/>
  <c r="Q61" i="3" s="1"/>
  <c r="AK61" i="3" s="1"/>
  <c r="L49" i="3" a="1"/>
  <c r="L49" i="3" s="1"/>
  <c r="Q49" i="3" s="1"/>
  <c r="AK49" i="3" s="1"/>
  <c r="L37" i="3" a="1"/>
  <c r="L37" i="3" s="1"/>
  <c r="Q37" i="3" s="1"/>
  <c r="AK37" i="3" s="1"/>
  <c r="L25" i="3" a="1"/>
  <c r="L25" i="3" s="1"/>
  <c r="Q25" i="3" s="1"/>
  <c r="AK25" i="3" s="1"/>
  <c r="L13" i="3" a="1"/>
  <c r="L13" i="3" s="1"/>
  <c r="Q13" i="3" s="1"/>
  <c r="AK13" i="3" s="1"/>
  <c r="M151" i="3"/>
  <c r="M139" i="3"/>
  <c r="M127" i="3"/>
  <c r="M115" i="3"/>
  <c r="M103" i="3"/>
  <c r="M91" i="3"/>
  <c r="M79" i="3"/>
  <c r="M67" i="3"/>
  <c r="M55" i="3"/>
  <c r="M43" i="3"/>
  <c r="M31" i="3"/>
  <c r="M19" i="3"/>
  <c r="M150" i="3"/>
  <c r="M138" i="3"/>
  <c r="M126" i="3"/>
  <c r="M114" i="3"/>
  <c r="M102" i="3"/>
  <c r="M90" i="3"/>
  <c r="M78" i="3"/>
  <c r="M66" i="3"/>
  <c r="M54" i="3"/>
  <c r="M42" i="3"/>
  <c r="M30" i="3"/>
  <c r="M18" i="3"/>
  <c r="U13" i="3"/>
  <c r="M148" i="3"/>
  <c r="M136" i="3"/>
  <c r="M124" i="3"/>
  <c r="M112" i="3"/>
  <c r="M100" i="3"/>
  <c r="M88" i="3"/>
  <c r="M76" i="3"/>
  <c r="M64" i="3"/>
  <c r="M52" i="3"/>
  <c r="M40" i="3"/>
  <c r="M28" i="3"/>
  <c r="M16" i="3"/>
  <c r="F9" i="10"/>
  <c r="F12" i="10"/>
  <c r="H8" i="10"/>
  <c r="D98" i="9"/>
  <c r="C95" i="9"/>
  <c r="D95" i="9" s="1"/>
  <c r="AE8" i="10"/>
  <c r="AG8" i="10"/>
  <c r="AL8" i="10"/>
  <c r="AF8" i="10"/>
  <c r="L8" i="10"/>
  <c r="AK8" i="10"/>
  <c r="C83" i="13"/>
  <c r="E81" i="13"/>
  <c r="L81" i="13"/>
  <c r="K79" i="13"/>
  <c r="C76" i="13"/>
  <c r="L80" i="13"/>
  <c r="K78" i="13"/>
  <c r="K77" i="13"/>
  <c r="C79" i="13"/>
  <c r="E70" i="13"/>
  <c r="K74" i="13"/>
  <c r="E71" i="13"/>
  <c r="K72" i="13"/>
  <c r="K85" i="13"/>
  <c r="L71" i="13"/>
  <c r="K84" i="13"/>
  <c r="C72" i="13"/>
  <c r="C78" i="13"/>
  <c r="E78" i="13"/>
  <c r="E79" i="13"/>
  <c r="E74" i="13"/>
  <c r="L79" i="13"/>
  <c r="K71" i="13"/>
  <c r="L78" i="13"/>
  <c r="K70" i="13"/>
  <c r="L77" i="13"/>
  <c r="K81" i="13"/>
  <c r="L70" i="13"/>
  <c r="L76" i="13"/>
  <c r="K80" i="13"/>
  <c r="E73" i="13"/>
  <c r="C82" i="13"/>
  <c r="E80" i="13"/>
  <c r="L75" i="13"/>
  <c r="E72" i="13"/>
  <c r="E75" i="13"/>
  <c r="L74" i="13"/>
  <c r="K83" i="13"/>
  <c r="C70" i="13"/>
  <c r="L85" i="13"/>
  <c r="L73" i="13"/>
  <c r="K82" i="13"/>
  <c r="E82" i="13"/>
  <c r="C73" i="13"/>
  <c r="L84" i="13"/>
  <c r="L72" i="13"/>
  <c r="K76" i="13"/>
  <c r="L83" i="13"/>
  <c r="K75" i="13"/>
  <c r="E76" i="13"/>
  <c r="L82" i="13"/>
  <c r="E83" i="13"/>
  <c r="K73" i="13"/>
  <c r="AE7" i="3"/>
  <c r="F7" i="11"/>
  <c r="D7" i="11"/>
  <c r="U130" i="3"/>
  <c r="U28" i="3"/>
  <c r="U124" i="3"/>
  <c r="U88" i="3"/>
  <c r="U85" i="3"/>
  <c r="U133" i="3"/>
  <c r="U98" i="3"/>
  <c r="U63" i="3"/>
  <c r="U156" i="3"/>
  <c r="U96" i="3"/>
  <c r="U84" i="3"/>
  <c r="U142" i="3"/>
  <c r="U131" i="3"/>
  <c r="U62" i="3"/>
  <c r="U110" i="3"/>
  <c r="U36" i="3"/>
  <c r="U70" i="3"/>
  <c r="U97" i="3"/>
  <c r="U14" i="3"/>
  <c r="U15" i="3"/>
  <c r="U126" i="3"/>
  <c r="U12" i="3"/>
  <c r="U35" i="3"/>
  <c r="U144" i="3"/>
  <c r="U119" i="3"/>
  <c r="U61" i="3"/>
  <c r="U25" i="3"/>
  <c r="U93" i="3"/>
  <c r="U147" i="3"/>
  <c r="U143" i="3"/>
  <c r="U155" i="3"/>
  <c r="U78" i="3"/>
  <c r="U86" i="3"/>
  <c r="U120" i="3"/>
  <c r="U99" i="3"/>
  <c r="U145" i="3"/>
  <c r="U34" i="3"/>
  <c r="U31" i="3"/>
  <c r="U47" i="3"/>
  <c r="U44" i="3"/>
  <c r="U48" i="3"/>
  <c r="U18" i="3"/>
  <c r="U102" i="3"/>
  <c r="AF102" i="3"/>
  <c r="U111" i="3"/>
  <c r="U56" i="3"/>
  <c r="U92" i="3"/>
  <c r="U141" i="3"/>
  <c r="U72" i="3"/>
  <c r="U123" i="3"/>
  <c r="U135" i="3"/>
  <c r="U106" i="3"/>
  <c r="U129" i="3"/>
  <c r="U81" i="3"/>
  <c r="U153" i="3"/>
  <c r="AF103" i="3"/>
  <c r="U103" i="3"/>
  <c r="AF104" i="3"/>
  <c r="U104" i="3"/>
  <c r="U57" i="3"/>
  <c r="U55" i="3"/>
  <c r="AF91" i="3"/>
  <c r="U91" i="3"/>
  <c r="U115" i="3"/>
  <c r="U127" i="3"/>
  <c r="U20" i="3"/>
  <c r="U116" i="3"/>
  <c r="U128" i="3"/>
  <c r="U140" i="3"/>
  <c r="U152" i="3"/>
  <c r="U19" i="3"/>
  <c r="U33" i="3"/>
  <c r="U69" i="3"/>
  <c r="U67" i="3"/>
  <c r="U43" i="3"/>
  <c r="U76" i="3"/>
  <c r="U77" i="3"/>
  <c r="U89" i="3"/>
  <c r="U101" i="3"/>
  <c r="U149" i="3"/>
  <c r="U42" i="3"/>
  <c r="AF66" i="3"/>
  <c r="U66" i="3"/>
  <c r="AF90" i="3"/>
  <c r="U90" i="3"/>
  <c r="AF150" i="3"/>
  <c r="U150" i="3"/>
  <c r="U151" i="3"/>
  <c r="U22" i="3"/>
  <c r="U41" i="3"/>
  <c r="U79" i="3"/>
  <c r="U94" i="3"/>
  <c r="U82" i="3"/>
  <c r="U16" i="3"/>
  <c r="U64" i="3"/>
  <c r="U105" i="3"/>
  <c r="U75" i="3"/>
  <c r="U107" i="3"/>
  <c r="U32" i="3"/>
  <c r="U80" i="3"/>
  <c r="U125" i="3"/>
  <c r="U45" i="3"/>
  <c r="U37" i="3"/>
  <c r="U117" i="3"/>
  <c r="AF53" i="3"/>
  <c r="U53" i="3"/>
  <c r="U118" i="3"/>
  <c r="U52" i="3"/>
  <c r="U122" i="3"/>
  <c r="U24" i="3"/>
  <c r="U38" i="3"/>
  <c r="U73" i="3"/>
  <c r="U109" i="3"/>
  <c r="U30" i="3"/>
  <c r="U39" i="3"/>
  <c r="U54" i="3"/>
  <c r="U100" i="3"/>
  <c r="U112" i="3"/>
  <c r="U95" i="3"/>
  <c r="U68" i="3"/>
  <c r="U21" i="3"/>
  <c r="U137" i="3"/>
  <c r="U148" i="3"/>
  <c r="U139" i="3"/>
  <c r="U49" i="3"/>
  <c r="U65" i="3"/>
  <c r="U146" i="3"/>
  <c r="U154" i="3"/>
  <c r="U138" i="3"/>
  <c r="U108" i="3"/>
  <c r="U26" i="3"/>
  <c r="U136" i="3"/>
  <c r="U17" i="3"/>
  <c r="U46" i="3"/>
  <c r="U27" i="3"/>
  <c r="U51" i="3"/>
  <c r="U121" i="3"/>
  <c r="U50" i="3"/>
  <c r="U74" i="3"/>
  <c r="U40" i="3"/>
  <c r="U132" i="3"/>
  <c r="U113" i="3"/>
  <c r="U71" i="3"/>
  <c r="AF114" i="3"/>
  <c r="U114" i="3"/>
  <c r="U23" i="3"/>
  <c r="U134" i="3"/>
  <c r="I12" i="10"/>
  <c r="N12" i="10" s="1"/>
  <c r="U8" i="10"/>
  <c r="I11" i="10"/>
  <c r="S8" i="10"/>
  <c r="I10" i="10"/>
  <c r="I9" i="10"/>
  <c r="T28" i="8"/>
  <c r="C114" i="9"/>
  <c r="C105" i="9" s="1"/>
  <c r="C76" i="9" l="1"/>
  <c r="D81" i="9" s="1"/>
  <c r="R8" i="10"/>
  <c r="Q8" i="10"/>
  <c r="AK23" i="3"/>
  <c r="S23" i="3"/>
  <c r="AK15" i="3"/>
  <c r="S15" i="3"/>
  <c r="AJ156" i="3"/>
  <c r="S8" i="3"/>
  <c r="AK8" i="3"/>
  <c r="K6" i="11" s="1"/>
  <c r="AK156" i="3"/>
  <c r="A2" i="6" a="1"/>
  <c r="A2" i="6" s="1"/>
  <c r="V131" i="9"/>
  <c r="P131" i="9" s="1"/>
  <c r="V132" i="9"/>
  <c r="I132" i="9" s="1"/>
  <c r="V133" i="9"/>
  <c r="I133" i="9" s="1"/>
  <c r="V130" i="9"/>
  <c r="D99" i="9" s="1"/>
  <c r="V134" i="9"/>
  <c r="I134" i="9" s="1"/>
  <c r="BA38" i="10"/>
  <c r="BA33" i="10"/>
  <c r="BA53" i="10"/>
  <c r="AH8" i="10"/>
  <c r="G82" i="9"/>
  <c r="AI7" i="3"/>
  <c r="AJ7" i="3" s="1"/>
  <c r="AB9" i="3" a="1"/>
  <c r="AB9" i="3" s="1"/>
  <c r="AF9" i="3" s="1"/>
  <c r="AB11" i="3" a="1"/>
  <c r="AB11" i="3" s="1"/>
  <c r="AF11" i="3" s="1"/>
  <c r="AH27" i="3"/>
  <c r="AI27" i="3"/>
  <c r="AJ27" i="3" s="1"/>
  <c r="AH99" i="3"/>
  <c r="AI99" i="3"/>
  <c r="AJ99" i="3" s="1"/>
  <c r="AH30" i="3"/>
  <c r="AI30" i="3"/>
  <c r="AJ30" i="3" s="1"/>
  <c r="AH102" i="3"/>
  <c r="AI102" i="3"/>
  <c r="AJ102" i="3" s="1"/>
  <c r="AH46" i="3"/>
  <c r="AI46" i="3"/>
  <c r="AJ46" i="3" s="1"/>
  <c r="AH71" i="3"/>
  <c r="AI71" i="3"/>
  <c r="AJ71" i="3" s="1"/>
  <c r="AH79" i="3"/>
  <c r="AI79" i="3"/>
  <c r="AJ79" i="3" s="1"/>
  <c r="AH151" i="3"/>
  <c r="AI151" i="3"/>
  <c r="AJ151" i="3" s="1"/>
  <c r="AH47" i="3"/>
  <c r="AI47" i="3"/>
  <c r="AJ47" i="3" s="1"/>
  <c r="AH80" i="3"/>
  <c r="AI80" i="3"/>
  <c r="AJ80" i="3" s="1"/>
  <c r="AH152" i="3"/>
  <c r="AI152" i="3"/>
  <c r="AJ152" i="3" s="1"/>
  <c r="AH23" i="3"/>
  <c r="AI23" i="3"/>
  <c r="AJ23" i="3" s="1"/>
  <c r="AH69" i="3"/>
  <c r="AI69" i="3"/>
  <c r="AJ69" i="3" s="1"/>
  <c r="AH141" i="3"/>
  <c r="AI141" i="3"/>
  <c r="AJ141" i="3" s="1"/>
  <c r="AH40" i="3"/>
  <c r="AI40" i="3"/>
  <c r="AJ40" i="3" s="1"/>
  <c r="AH112" i="3"/>
  <c r="AI112" i="3"/>
  <c r="AJ112" i="3" s="1"/>
  <c r="AH83" i="3"/>
  <c r="AI83" i="3"/>
  <c r="AJ83" i="3" s="1"/>
  <c r="AH17" i="3"/>
  <c r="AI17" i="3"/>
  <c r="AJ17" i="3" s="1"/>
  <c r="AH89" i="3"/>
  <c r="AI89" i="3"/>
  <c r="AJ89" i="3" s="1"/>
  <c r="S7" i="3"/>
  <c r="AH38" i="3"/>
  <c r="AI38" i="3"/>
  <c r="AJ38" i="3" s="1"/>
  <c r="AH49" i="3"/>
  <c r="AI49" i="3"/>
  <c r="AJ49" i="3" s="1"/>
  <c r="AH121" i="3"/>
  <c r="AI121" i="3"/>
  <c r="AJ121" i="3" s="1"/>
  <c r="AH42" i="3"/>
  <c r="AI42" i="3"/>
  <c r="AJ42" i="3" s="1"/>
  <c r="AH51" i="3"/>
  <c r="AI51" i="3"/>
  <c r="AJ51" i="3" s="1"/>
  <c r="AH123" i="3"/>
  <c r="AI123" i="3"/>
  <c r="AJ123" i="3" s="1"/>
  <c r="AH62" i="3"/>
  <c r="AI62" i="3"/>
  <c r="AJ62" i="3" s="1"/>
  <c r="AH54" i="3"/>
  <c r="AI54" i="3"/>
  <c r="AJ54" i="3" s="1"/>
  <c r="AH126" i="3"/>
  <c r="AI126" i="3"/>
  <c r="AJ126" i="3" s="1"/>
  <c r="AH31" i="3"/>
  <c r="AI31" i="3"/>
  <c r="AJ31" i="3" s="1"/>
  <c r="AH103" i="3"/>
  <c r="AI103" i="3"/>
  <c r="AJ103" i="3" s="1"/>
  <c r="AH82" i="3"/>
  <c r="AI82" i="3"/>
  <c r="AJ82" i="3" s="1"/>
  <c r="AH32" i="3"/>
  <c r="AI32" i="3"/>
  <c r="AJ32" i="3" s="1"/>
  <c r="AH104" i="3"/>
  <c r="AI104" i="3"/>
  <c r="AJ104" i="3" s="1"/>
  <c r="AH70" i="3"/>
  <c r="AI70" i="3"/>
  <c r="AJ70" i="3" s="1"/>
  <c r="AH155" i="3"/>
  <c r="AI155" i="3"/>
  <c r="AJ155" i="3" s="1"/>
  <c r="AH21" i="3"/>
  <c r="AI21" i="3"/>
  <c r="AJ21" i="3" s="1"/>
  <c r="AH93" i="3"/>
  <c r="AI93" i="3"/>
  <c r="AJ93" i="3" s="1"/>
  <c r="AH34" i="3"/>
  <c r="AI34" i="3"/>
  <c r="AJ34" i="3" s="1"/>
  <c r="AH59" i="3"/>
  <c r="AI59" i="3"/>
  <c r="AJ59" i="3" s="1"/>
  <c r="AH22" i="3"/>
  <c r="AI22" i="3"/>
  <c r="AJ22" i="3" s="1"/>
  <c r="AH9" i="3"/>
  <c r="AI9" i="3"/>
  <c r="AJ9" i="3" s="1"/>
  <c r="AH143" i="3"/>
  <c r="AI143" i="3"/>
  <c r="AJ143" i="3" s="1"/>
  <c r="AH14" i="3"/>
  <c r="AI14" i="3"/>
  <c r="AJ14" i="3" s="1"/>
  <c r="AH64" i="3"/>
  <c r="AI64" i="3"/>
  <c r="AJ64" i="3" s="1"/>
  <c r="AH136" i="3"/>
  <c r="AI136" i="3"/>
  <c r="AJ136" i="3" s="1"/>
  <c r="AH41" i="3"/>
  <c r="AI41" i="3"/>
  <c r="AJ41" i="3" s="1"/>
  <c r="AH113" i="3"/>
  <c r="AI113" i="3"/>
  <c r="AJ113" i="3" s="1"/>
  <c r="AH73" i="3"/>
  <c r="AI73" i="3"/>
  <c r="AJ73" i="3" s="1"/>
  <c r="AH145" i="3"/>
  <c r="AI145" i="3"/>
  <c r="AJ145" i="3" s="1"/>
  <c r="AH61" i="3"/>
  <c r="AI61" i="3"/>
  <c r="AJ61" i="3" s="1"/>
  <c r="AH63" i="3"/>
  <c r="AI63" i="3"/>
  <c r="AJ63" i="3" s="1"/>
  <c r="AH135" i="3"/>
  <c r="AI135" i="3"/>
  <c r="AJ135" i="3" s="1"/>
  <c r="AH66" i="3"/>
  <c r="AI66" i="3"/>
  <c r="AJ66" i="3" s="1"/>
  <c r="AH138" i="3"/>
  <c r="AI138" i="3"/>
  <c r="AJ138" i="3" s="1"/>
  <c r="AH110" i="3"/>
  <c r="AI110" i="3"/>
  <c r="AJ110" i="3" s="1"/>
  <c r="AH43" i="3"/>
  <c r="AI43" i="3"/>
  <c r="AJ43" i="3" s="1"/>
  <c r="AH115" i="3"/>
  <c r="AI115" i="3"/>
  <c r="AJ115" i="3" s="1"/>
  <c r="AH154" i="3"/>
  <c r="AI154" i="3"/>
  <c r="AJ154" i="3" s="1"/>
  <c r="AH44" i="3"/>
  <c r="AI44" i="3"/>
  <c r="AJ44" i="3" s="1"/>
  <c r="AH116" i="3"/>
  <c r="AI116" i="3"/>
  <c r="AJ116" i="3" s="1"/>
  <c r="AH142" i="3"/>
  <c r="AI142" i="3"/>
  <c r="AJ142" i="3" s="1"/>
  <c r="AH33" i="3"/>
  <c r="AI33" i="3"/>
  <c r="AJ33" i="3" s="1"/>
  <c r="AH105" i="3"/>
  <c r="AI105" i="3"/>
  <c r="AJ105" i="3" s="1"/>
  <c r="AH58" i="3"/>
  <c r="AI58" i="3"/>
  <c r="AJ58" i="3" s="1"/>
  <c r="AH119" i="3"/>
  <c r="AI119" i="3"/>
  <c r="AJ119" i="3" s="1"/>
  <c r="AH91" i="3"/>
  <c r="AI91" i="3"/>
  <c r="AJ91" i="3" s="1"/>
  <c r="AH146" i="3"/>
  <c r="AI146" i="3"/>
  <c r="AJ146" i="3" s="1"/>
  <c r="AH76" i="3"/>
  <c r="AI76" i="3"/>
  <c r="AJ76" i="3" s="1"/>
  <c r="AH148" i="3"/>
  <c r="AI148" i="3"/>
  <c r="AJ148" i="3" s="1"/>
  <c r="AH26" i="3"/>
  <c r="AI26" i="3"/>
  <c r="AJ26" i="3" s="1"/>
  <c r="AH53" i="3"/>
  <c r="AI53" i="3"/>
  <c r="AJ53" i="3" s="1"/>
  <c r="AH125" i="3"/>
  <c r="AI125" i="3"/>
  <c r="AJ125" i="3" s="1"/>
  <c r="AH35" i="3"/>
  <c r="AI35" i="3"/>
  <c r="AJ35" i="3" s="1"/>
  <c r="AH13" i="3"/>
  <c r="AI13" i="3"/>
  <c r="AJ13" i="3" s="1"/>
  <c r="AH85" i="3"/>
  <c r="AI85" i="3"/>
  <c r="AJ85" i="3" s="1"/>
  <c r="AH107" i="3"/>
  <c r="AI107" i="3"/>
  <c r="AJ107" i="3" s="1"/>
  <c r="AH95" i="3"/>
  <c r="AI95" i="3"/>
  <c r="AJ95" i="3" s="1"/>
  <c r="AH52" i="3"/>
  <c r="AI52" i="3"/>
  <c r="AJ52" i="3" s="1"/>
  <c r="AH101" i="3"/>
  <c r="AI101" i="3"/>
  <c r="AJ101" i="3" s="1"/>
  <c r="AH118" i="3"/>
  <c r="AI118" i="3"/>
  <c r="AJ118" i="3" s="1"/>
  <c r="AH86" i="3"/>
  <c r="AI86" i="3"/>
  <c r="AJ86" i="3" s="1"/>
  <c r="AH75" i="3"/>
  <c r="AI75" i="3"/>
  <c r="AJ75" i="3" s="1"/>
  <c r="AH147" i="3"/>
  <c r="AI147" i="3"/>
  <c r="AJ147" i="3" s="1"/>
  <c r="AH78" i="3"/>
  <c r="AI78" i="3"/>
  <c r="AJ78" i="3" s="1"/>
  <c r="AH150" i="3"/>
  <c r="AI150" i="3"/>
  <c r="AJ150" i="3" s="1"/>
  <c r="AH55" i="3"/>
  <c r="AI55" i="3"/>
  <c r="AJ55" i="3" s="1"/>
  <c r="AH127" i="3"/>
  <c r="AI127" i="3"/>
  <c r="AJ127" i="3" s="1"/>
  <c r="AH74" i="3"/>
  <c r="AI74" i="3"/>
  <c r="AJ74" i="3" s="1"/>
  <c r="AH56" i="3"/>
  <c r="AI56" i="3"/>
  <c r="AJ56" i="3" s="1"/>
  <c r="AH128" i="3"/>
  <c r="AI128" i="3"/>
  <c r="AJ128" i="3" s="1"/>
  <c r="AH50" i="3"/>
  <c r="AI50" i="3"/>
  <c r="AJ50" i="3" s="1"/>
  <c r="AH45" i="3"/>
  <c r="AI45" i="3"/>
  <c r="AJ45" i="3" s="1"/>
  <c r="AH117" i="3"/>
  <c r="AI117" i="3"/>
  <c r="AJ117" i="3" s="1"/>
  <c r="AH106" i="3"/>
  <c r="AI106" i="3"/>
  <c r="AJ106" i="3" s="1"/>
  <c r="AH39" i="3"/>
  <c r="AI39" i="3"/>
  <c r="AJ39" i="3" s="1"/>
  <c r="AH114" i="3"/>
  <c r="AI114" i="3"/>
  <c r="AJ114" i="3" s="1"/>
  <c r="AH19" i="3"/>
  <c r="AI19" i="3"/>
  <c r="AJ19" i="3" s="1"/>
  <c r="AH92" i="3"/>
  <c r="AI92" i="3"/>
  <c r="AJ92" i="3" s="1"/>
  <c r="AH81" i="3"/>
  <c r="AI81" i="3"/>
  <c r="AJ81" i="3" s="1"/>
  <c r="AH29" i="3"/>
  <c r="AI29" i="3"/>
  <c r="AJ29" i="3" s="1"/>
  <c r="AH16" i="3"/>
  <c r="AI16" i="3"/>
  <c r="AJ16" i="3" s="1"/>
  <c r="AH88" i="3"/>
  <c r="AI88" i="3"/>
  <c r="AJ88" i="3" s="1"/>
  <c r="AH134" i="3"/>
  <c r="AI134" i="3"/>
  <c r="AJ134" i="3" s="1"/>
  <c r="AH65" i="3"/>
  <c r="AI65" i="3"/>
  <c r="AJ65" i="3" s="1"/>
  <c r="AH137" i="3"/>
  <c r="AI137" i="3"/>
  <c r="AJ137" i="3" s="1"/>
  <c r="AH131" i="3"/>
  <c r="AI131" i="3"/>
  <c r="AJ131" i="3" s="1"/>
  <c r="AH25" i="3"/>
  <c r="AI25" i="3"/>
  <c r="AJ25" i="3" s="1"/>
  <c r="AH97" i="3"/>
  <c r="AI97" i="3"/>
  <c r="AJ97" i="3" s="1"/>
  <c r="AH98" i="3"/>
  <c r="AI98" i="3"/>
  <c r="AJ98" i="3" s="1"/>
  <c r="AH111" i="3"/>
  <c r="AI111" i="3"/>
  <c r="AJ111" i="3" s="1"/>
  <c r="AH10" i="3"/>
  <c r="AI10" i="3"/>
  <c r="AJ10" i="3" s="1"/>
  <c r="AH15" i="3"/>
  <c r="AI15" i="3"/>
  <c r="AJ15" i="3" s="1"/>
  <c r="AH87" i="3"/>
  <c r="AI87" i="3"/>
  <c r="AJ87" i="3" s="1"/>
  <c r="AH18" i="3"/>
  <c r="AI18" i="3"/>
  <c r="AJ18" i="3" s="1"/>
  <c r="AH90" i="3"/>
  <c r="AI90" i="3"/>
  <c r="AJ90" i="3" s="1"/>
  <c r="AH67" i="3"/>
  <c r="AI67" i="3"/>
  <c r="AJ67" i="3" s="1"/>
  <c r="AH139" i="3"/>
  <c r="AI139" i="3"/>
  <c r="AJ139" i="3" s="1"/>
  <c r="AH68" i="3"/>
  <c r="AI68" i="3"/>
  <c r="AJ68" i="3" s="1"/>
  <c r="AH140" i="3"/>
  <c r="AI140" i="3"/>
  <c r="AJ140" i="3" s="1"/>
  <c r="AH122" i="3"/>
  <c r="AI122" i="3"/>
  <c r="AJ122" i="3" s="1"/>
  <c r="AH57" i="3"/>
  <c r="AI57" i="3"/>
  <c r="AJ57" i="3" s="1"/>
  <c r="AH129" i="3"/>
  <c r="AI129" i="3"/>
  <c r="AJ129" i="3" s="1"/>
  <c r="AH94" i="3"/>
  <c r="AI94" i="3"/>
  <c r="AJ94" i="3" s="1"/>
  <c r="AH20" i="3"/>
  <c r="AI20" i="3"/>
  <c r="AJ20" i="3" s="1"/>
  <c r="AH153" i="3"/>
  <c r="AI153" i="3"/>
  <c r="AJ153" i="3" s="1"/>
  <c r="AH124" i="3"/>
  <c r="AI124" i="3"/>
  <c r="AJ124" i="3" s="1"/>
  <c r="AH133" i="3"/>
  <c r="AI133" i="3"/>
  <c r="AJ133" i="3" s="1"/>
  <c r="AH11" i="3"/>
  <c r="AI11" i="3"/>
  <c r="AJ11" i="3" s="1"/>
  <c r="AH28" i="3"/>
  <c r="AI28" i="3"/>
  <c r="AJ28" i="3" s="1"/>
  <c r="AH100" i="3"/>
  <c r="AI100" i="3"/>
  <c r="AJ100" i="3" s="1"/>
  <c r="AH130" i="3"/>
  <c r="AI130" i="3"/>
  <c r="AJ130" i="3" s="1"/>
  <c r="AH77" i="3"/>
  <c r="AI77" i="3"/>
  <c r="AJ77" i="3" s="1"/>
  <c r="AH149" i="3"/>
  <c r="AI149" i="3"/>
  <c r="AJ149" i="3" s="1"/>
  <c r="AH37" i="3"/>
  <c r="AI37" i="3"/>
  <c r="AJ37" i="3" s="1"/>
  <c r="AH109" i="3"/>
  <c r="AI109" i="3"/>
  <c r="AJ109" i="3" s="1"/>
  <c r="S9" i="3"/>
  <c r="S10" i="3"/>
  <c r="S11" i="3"/>
  <c r="AH7" i="3"/>
  <c r="U7" i="3"/>
  <c r="AG7" i="3" s="1"/>
  <c r="AF7" i="3"/>
  <c r="AG10" i="3"/>
  <c r="AG11" i="3"/>
  <c r="W60" i="3"/>
  <c r="AG9" i="3"/>
  <c r="W8" i="3"/>
  <c r="Y8" i="3" s="1"/>
  <c r="AG8" i="3"/>
  <c r="AG143" i="3"/>
  <c r="AG114" i="3"/>
  <c r="W132" i="3"/>
  <c r="AG132" i="3"/>
  <c r="AG136" i="3"/>
  <c r="AG49" i="3"/>
  <c r="AG112" i="3"/>
  <c r="AG109" i="3"/>
  <c r="W24" i="3"/>
  <c r="AG24" i="3"/>
  <c r="AG41" i="3"/>
  <c r="AG42" i="3"/>
  <c r="AG128" i="3"/>
  <c r="AG104" i="3"/>
  <c r="AG147" i="3"/>
  <c r="AG97" i="3"/>
  <c r="AG142" i="3"/>
  <c r="AG63" i="3"/>
  <c r="AG85" i="3"/>
  <c r="AG39" i="3"/>
  <c r="AG121" i="3"/>
  <c r="AG53" i="3"/>
  <c r="AG75" i="3"/>
  <c r="AG135" i="3"/>
  <c r="AG56" i="3"/>
  <c r="AG93" i="3"/>
  <c r="AG70" i="3"/>
  <c r="AG88" i="3"/>
  <c r="AG37" i="3"/>
  <c r="AG131" i="3"/>
  <c r="AG45" i="3"/>
  <c r="AG25" i="3"/>
  <c r="AG52" i="3"/>
  <c r="AG20" i="3"/>
  <c r="AG118" i="3"/>
  <c r="AG107" i="3"/>
  <c r="AG18" i="3"/>
  <c r="AG30" i="3"/>
  <c r="W108" i="3"/>
  <c r="AG108" i="3"/>
  <c r="AG122" i="3"/>
  <c r="AG103" i="3"/>
  <c r="AG123" i="3"/>
  <c r="AG145" i="3"/>
  <c r="W84" i="3"/>
  <c r="AG84" i="3"/>
  <c r="AG98" i="3"/>
  <c r="AG124" i="3"/>
  <c r="AG100" i="3"/>
  <c r="AG105" i="3"/>
  <c r="AG22" i="3"/>
  <c r="AG99" i="3"/>
  <c r="W36" i="3"/>
  <c r="AG36" i="3"/>
  <c r="AG71" i="3"/>
  <c r="AG51" i="3"/>
  <c r="AG38" i="3"/>
  <c r="AG64" i="3"/>
  <c r="AG149" i="3"/>
  <c r="AG76" i="3"/>
  <c r="W72" i="3"/>
  <c r="AG72" i="3"/>
  <c r="AG61" i="3"/>
  <c r="W12" i="3"/>
  <c r="AG12" i="3"/>
  <c r="AG28" i="3"/>
  <c r="AG138" i="3"/>
  <c r="AG137" i="3"/>
  <c r="AG69" i="3"/>
  <c r="AG115" i="3"/>
  <c r="AG141" i="3"/>
  <c r="AG44" i="3"/>
  <c r="W120" i="3"/>
  <c r="AG120" i="3"/>
  <c r="AG127" i="3"/>
  <c r="AG27" i="3"/>
  <c r="AG16" i="3"/>
  <c r="AG150" i="3"/>
  <c r="AG101" i="3"/>
  <c r="AG43" i="3"/>
  <c r="AG33" i="3"/>
  <c r="AG91" i="3"/>
  <c r="AG153" i="3"/>
  <c r="AG111" i="3"/>
  <c r="W96" i="3"/>
  <c r="AG96" i="3"/>
  <c r="AG13" i="3"/>
  <c r="AG73" i="3"/>
  <c r="AG40" i="3"/>
  <c r="AG154" i="3"/>
  <c r="AG21" i="3"/>
  <c r="AG125" i="3"/>
  <c r="AG82" i="3"/>
  <c r="AG81" i="3"/>
  <c r="AG119" i="3"/>
  <c r="AG110" i="3"/>
  <c r="W156" i="3"/>
  <c r="Y156" i="3" s="1"/>
  <c r="AG156" i="3"/>
  <c r="AG139" i="3"/>
  <c r="AG148" i="3"/>
  <c r="W48" i="3"/>
  <c r="AG48" i="3"/>
  <c r="AG113" i="3"/>
  <c r="AG68" i="3"/>
  <c r="AG54" i="3"/>
  <c r="AG117" i="3"/>
  <c r="AG90" i="3"/>
  <c r="AG89" i="3"/>
  <c r="AG67" i="3"/>
  <c r="AG19" i="3"/>
  <c r="AG152" i="3"/>
  <c r="AG129" i="3"/>
  <c r="AG92" i="3"/>
  <c r="AG102" i="3"/>
  <c r="AG47" i="3"/>
  <c r="AG86" i="3"/>
  <c r="AG126" i="3"/>
  <c r="AG130" i="3"/>
  <c r="AG50" i="3"/>
  <c r="AG46" i="3"/>
  <c r="AG146" i="3"/>
  <c r="AG95" i="3"/>
  <c r="AG80" i="3"/>
  <c r="AG94" i="3"/>
  <c r="AG55" i="3"/>
  <c r="AG106" i="3"/>
  <c r="AG31" i="3"/>
  <c r="AG78" i="3"/>
  <c r="W144" i="3"/>
  <c r="AG144" i="3"/>
  <c r="AG15" i="3"/>
  <c r="AG62" i="3"/>
  <c r="AG23" i="3"/>
  <c r="AG26" i="3"/>
  <c r="AG116" i="3"/>
  <c r="AG134" i="3"/>
  <c r="AG74" i="3"/>
  <c r="AG17" i="3"/>
  <c r="AG65" i="3"/>
  <c r="AG32" i="3"/>
  <c r="AG79" i="3"/>
  <c r="AG151" i="3"/>
  <c r="AG66" i="3"/>
  <c r="AG77" i="3"/>
  <c r="AG140" i="3"/>
  <c r="AG57" i="3"/>
  <c r="AG34" i="3"/>
  <c r="AG155" i="3"/>
  <c r="AG35" i="3"/>
  <c r="AG14" i="3"/>
  <c r="AG133" i="3"/>
  <c r="Y8" i="10"/>
  <c r="AE11" i="3"/>
  <c r="AE10" i="3"/>
  <c r="AF10" i="3"/>
  <c r="AF8" i="3"/>
  <c r="AE8" i="3"/>
  <c r="D6" i="11" s="1"/>
  <c r="J8" i="10"/>
  <c r="T8" i="10" s="1"/>
  <c r="BF8" i="10"/>
  <c r="H9" i="10"/>
  <c r="BC9" i="10" s="1"/>
  <c r="H10" i="10"/>
  <c r="BC10" i="10" s="1"/>
  <c r="H12" i="10"/>
  <c r="BC12" i="10" s="1"/>
  <c r="H11" i="10"/>
  <c r="BC11" i="10" s="1"/>
  <c r="L12" i="10"/>
  <c r="L9" i="10"/>
  <c r="N9" i="10"/>
  <c r="L11" i="10"/>
  <c r="N11" i="10"/>
  <c r="L10" i="10"/>
  <c r="N10" i="10"/>
  <c r="T30" i="8"/>
  <c r="E81" i="9" l="1"/>
  <c r="F81" i="9" s="1"/>
  <c r="D80" i="9"/>
  <c r="BG8" i="10" a="1"/>
  <c r="BG8" i="10" s="1"/>
  <c r="P130" i="9"/>
  <c r="I130" i="9"/>
  <c r="D97" i="9" s="1"/>
  <c r="G81" i="9"/>
  <c r="G84" i="9" s="1"/>
  <c r="D3" i="11"/>
  <c r="F3" i="11"/>
  <c r="D5" i="11"/>
  <c r="AT8" i="10" a="1"/>
  <c r="AT8" i="10" s="1"/>
  <c r="BD8" i="10" s="1"/>
  <c r="K4" i="11"/>
  <c r="I131" i="9"/>
  <c r="P133" i="9"/>
  <c r="P132" i="9"/>
  <c r="I3" i="11"/>
  <c r="K5" i="11"/>
  <c r="K3" i="11"/>
  <c r="I60" i="13"/>
  <c r="P134" i="9"/>
  <c r="W8" i="10"/>
  <c r="W13" i="10"/>
  <c r="T49" i="8"/>
  <c r="I6" i="11"/>
  <c r="L6" i="11" s="1"/>
  <c r="F6" i="11"/>
  <c r="W46" i="3"/>
  <c r="W155" i="3"/>
  <c r="W23" i="3"/>
  <c r="Y23" i="3" s="1"/>
  <c r="W59" i="3"/>
  <c r="W71" i="3"/>
  <c r="W55" i="3"/>
  <c r="W73" i="3"/>
  <c r="W126" i="3"/>
  <c r="W103" i="3"/>
  <c r="W104" i="3"/>
  <c r="W62" i="3"/>
  <c r="W32" i="3"/>
  <c r="W41" i="3"/>
  <c r="W14" i="3"/>
  <c r="W17" i="3"/>
  <c r="W83" i="3"/>
  <c r="W78" i="3"/>
  <c r="W31" i="3"/>
  <c r="W54" i="3"/>
  <c r="W51" i="3"/>
  <c r="W22" i="3"/>
  <c r="W113" i="3"/>
  <c r="W47" i="3"/>
  <c r="W119" i="3"/>
  <c r="W21" i="3"/>
  <c r="W146" i="3"/>
  <c r="W93" i="3"/>
  <c r="W154" i="3"/>
  <c r="W64" i="3"/>
  <c r="W26" i="3"/>
  <c r="W99" i="3"/>
  <c r="W145" i="3"/>
  <c r="W27" i="3"/>
  <c r="W58" i="3"/>
  <c r="W95" i="3"/>
  <c r="W10" i="3"/>
  <c r="Y10" i="3" s="1"/>
  <c r="K7" i="11"/>
  <c r="W11" i="3"/>
  <c r="Y11" i="3" s="1"/>
  <c r="W86" i="3"/>
  <c r="W33" i="3"/>
  <c r="W107" i="3"/>
  <c r="W150" i="3"/>
  <c r="W127" i="3"/>
  <c r="W124" i="3"/>
  <c r="W153" i="3"/>
  <c r="W149" i="3"/>
  <c r="W91" i="3"/>
  <c r="W7" i="3"/>
  <c r="Y7" i="3" s="1"/>
  <c r="W117" i="3"/>
  <c r="W98" i="3"/>
  <c r="W65" i="3"/>
  <c r="W105" i="3"/>
  <c r="W45" i="3"/>
  <c r="W42" i="3"/>
  <c r="W35" i="3"/>
  <c r="W50" i="3"/>
  <c r="W49" i="3"/>
  <c r="W116" i="3"/>
  <c r="W106" i="3"/>
  <c r="W63" i="3"/>
  <c r="W15" i="3"/>
  <c r="Y15" i="3" s="1"/>
  <c r="W81" i="3"/>
  <c r="W138" i="3"/>
  <c r="W25" i="3"/>
  <c r="W82" i="3"/>
  <c r="W68" i="3"/>
  <c r="W148" i="3"/>
  <c r="W90" i="3"/>
  <c r="W139" i="3"/>
  <c r="W57" i="3"/>
  <c r="W129" i="3"/>
  <c r="W13" i="3"/>
  <c r="W143" i="3"/>
  <c r="W134" i="3"/>
  <c r="W100" i="3"/>
  <c r="W97" i="3"/>
  <c r="W118" i="3"/>
  <c r="W28" i="3"/>
  <c r="W70" i="3"/>
  <c r="W75" i="3"/>
  <c r="W39" i="3"/>
  <c r="W147" i="3"/>
  <c r="W114" i="3"/>
  <c r="W29" i="3"/>
  <c r="W19" i="3"/>
  <c r="W37" i="3"/>
  <c r="W53" i="3"/>
  <c r="W85" i="3"/>
  <c r="W140" i="3"/>
  <c r="W109" i="3"/>
  <c r="W94" i="3"/>
  <c r="W67" i="3"/>
  <c r="W16" i="3"/>
  <c r="W135" i="3"/>
  <c r="W87" i="3"/>
  <c r="W74" i="3"/>
  <c r="W34" i="3"/>
  <c r="W77" i="3"/>
  <c r="W102" i="3"/>
  <c r="W20" i="3"/>
  <c r="W131" i="3"/>
  <c r="W88" i="3"/>
  <c r="W121" i="3"/>
  <c r="W128" i="3"/>
  <c r="W111" i="3"/>
  <c r="W110" i="3"/>
  <c r="W101" i="3"/>
  <c r="W115" i="3"/>
  <c r="W137" i="3"/>
  <c r="W56" i="3"/>
  <c r="W142" i="3"/>
  <c r="W136" i="3"/>
  <c r="I7" i="11"/>
  <c r="L7" i="11" s="1"/>
  <c r="W66" i="3"/>
  <c r="W152" i="3"/>
  <c r="W61" i="3"/>
  <c r="W52" i="3"/>
  <c r="W79" i="3"/>
  <c r="W125" i="3"/>
  <c r="W43" i="3"/>
  <c r="W44" i="3"/>
  <c r="W30" i="3"/>
  <c r="W92" i="3"/>
  <c r="W40" i="3"/>
  <c r="W133" i="3"/>
  <c r="W89" i="3"/>
  <c r="W9" i="3"/>
  <c r="Y9" i="3" s="1"/>
  <c r="W151" i="3"/>
  <c r="W141" i="3"/>
  <c r="W38" i="3"/>
  <c r="W123" i="3"/>
  <c r="W122" i="3"/>
  <c r="W18" i="3"/>
  <c r="W112" i="3"/>
  <c r="W76" i="3"/>
  <c r="W80" i="3"/>
  <c r="W69" i="3"/>
  <c r="W130" i="3"/>
  <c r="F5" i="11"/>
  <c r="I5" i="11"/>
  <c r="I4" i="11"/>
  <c r="D4" i="11"/>
  <c r="F4" i="11"/>
  <c r="P8" i="10"/>
  <c r="J12" i="10"/>
  <c r="J9" i="10"/>
  <c r="J11" i="10"/>
  <c r="J10" i="10"/>
  <c r="BE8" i="10"/>
  <c r="A152" i="6" a="1"/>
  <c r="A152" i="6" s="1"/>
  <c r="Q61" i="13" s="1" a="1"/>
  <c r="R62" i="13" s="1"/>
  <c r="G80" i="9"/>
  <c r="L3" i="11" l="1"/>
  <c r="B60" i="13"/>
  <c r="B80" i="13" s="1"/>
  <c r="E60" i="13"/>
  <c r="E62" i="13"/>
  <c r="L5" i="11"/>
  <c r="K8" i="11"/>
  <c r="V31" i="15" s="1"/>
  <c r="T44" i="8"/>
  <c r="T58" i="8"/>
  <c r="T43" i="8"/>
  <c r="T50" i="8"/>
  <c r="T54" i="8"/>
  <c r="T56" i="8"/>
  <c r="T53" i="8"/>
  <c r="B70" i="13"/>
  <c r="B78" i="13"/>
  <c r="B84" i="13"/>
  <c r="B73" i="13"/>
  <c r="K60" i="13" a="1"/>
  <c r="K60" i="13" s="1"/>
  <c r="C60" i="13"/>
  <c r="J60" i="13" a="1"/>
  <c r="J60" i="13" s="1"/>
  <c r="L60" i="13"/>
  <c r="B81" i="13"/>
  <c r="B74" i="13"/>
  <c r="B72" i="13"/>
  <c r="T52" i="8"/>
  <c r="T42" i="8"/>
  <c r="AC28" i="10" s="1"/>
  <c r="AP28" i="10" s="1"/>
  <c r="AY28" i="10" s="1"/>
  <c r="T51" i="8"/>
  <c r="T55" i="8"/>
  <c r="T57" i="8"/>
  <c r="T39" i="8"/>
  <c r="AC13" i="10" s="1"/>
  <c r="AP13" i="10" s="1"/>
  <c r="AY13" i="10" s="1"/>
  <c r="T38" i="8"/>
  <c r="AC8" i="10" s="1"/>
  <c r="AP8" i="10" s="1"/>
  <c r="AY8" i="10" s="1"/>
  <c r="E20" i="11" s="1"/>
  <c r="F20" i="11" s="1"/>
  <c r="T61" i="8"/>
  <c r="T47" i="8"/>
  <c r="T60" i="8"/>
  <c r="T59" i="8"/>
  <c r="D85" i="9"/>
  <c r="C91" i="9" s="1"/>
  <c r="L12" i="11"/>
  <c r="F8" i="11"/>
  <c r="I8" i="11"/>
  <c r="AI31" i="15" s="1"/>
  <c r="L4" i="11"/>
  <c r="D8" i="11"/>
  <c r="AB31" i="15" s="1"/>
  <c r="AN8" i="10"/>
  <c r="J13" i="11"/>
  <c r="R63" i="13"/>
  <c r="R65" i="13"/>
  <c r="R68" i="13"/>
  <c r="R66" i="13"/>
  <c r="R67" i="13"/>
  <c r="E27" i="11"/>
  <c r="F27" i="11" s="1"/>
  <c r="J24" i="11"/>
  <c r="K26" i="11"/>
  <c r="K25" i="11"/>
  <c r="D14" i="11"/>
  <c r="E12" i="11"/>
  <c r="E40" i="11"/>
  <c r="J19" i="11"/>
  <c r="J27" i="11"/>
  <c r="G40" i="11"/>
  <c r="D24" i="11"/>
  <c r="G35" i="11"/>
  <c r="J39" i="11"/>
  <c r="J25" i="11"/>
  <c r="J40" i="11"/>
  <c r="L27" i="11"/>
  <c r="D26" i="11"/>
  <c r="L39" i="11"/>
  <c r="E15" i="11"/>
  <c r="F15" i="11" s="1"/>
  <c r="K27" i="11"/>
  <c r="L24" i="11"/>
  <c r="E16" i="11"/>
  <c r="F16" i="11" s="1"/>
  <c r="J35" i="11"/>
  <c r="G38" i="11"/>
  <c r="K22" i="11"/>
  <c r="D17" i="11"/>
  <c r="E13" i="11"/>
  <c r="F13" i="11" s="1"/>
  <c r="E26" i="11"/>
  <c r="F26" i="11" s="1"/>
  <c r="L40" i="11"/>
  <c r="AQ44" i="15" s="1"/>
  <c r="D39" i="11"/>
  <c r="J17" i="11"/>
  <c r="D12" i="11"/>
  <c r="L19" i="11"/>
  <c r="D13" i="11"/>
  <c r="K40" i="11"/>
  <c r="V44" i="15" s="1"/>
  <c r="J22" i="11"/>
  <c r="G37" i="11"/>
  <c r="J16" i="11"/>
  <c r="L14" i="11"/>
  <c r="D16" i="11"/>
  <c r="E35" i="11"/>
  <c r="F35" i="11" s="1"/>
  <c r="D22" i="11"/>
  <c r="L22" i="11"/>
  <c r="K19" i="11"/>
  <c r="E39" i="11"/>
  <c r="F39" i="11" s="1"/>
  <c r="L26" i="11"/>
  <c r="K14" i="11"/>
  <c r="E38" i="11"/>
  <c r="F38" i="11" s="1"/>
  <c r="K39" i="11"/>
  <c r="H40" i="11"/>
  <c r="AL44" i="15" s="1"/>
  <c r="D40" i="11"/>
  <c r="AG44" i="15" s="1"/>
  <c r="D25" i="11"/>
  <c r="K24" i="11"/>
  <c r="H39" i="11"/>
  <c r="D27" i="11"/>
  <c r="E19" i="11"/>
  <c r="F19" i="11" s="1"/>
  <c r="E25" i="11"/>
  <c r="F25" i="11" s="1"/>
  <c r="L25" i="11"/>
  <c r="L17" i="11"/>
  <c r="G39" i="11"/>
  <c r="E24" i="11"/>
  <c r="L13" i="11"/>
  <c r="J15" i="11"/>
  <c r="E17" i="11"/>
  <c r="F17" i="11" s="1"/>
  <c r="E22" i="11"/>
  <c r="F22" i="11" s="1"/>
  <c r="L16" i="11"/>
  <c r="K15" i="11"/>
  <c r="E14" i="11"/>
  <c r="E37" i="11"/>
  <c r="F37" i="11" s="1"/>
  <c r="J14" i="11"/>
  <c r="D19" i="11"/>
  <c r="K17" i="11"/>
  <c r="D15" i="11"/>
  <c r="L15" i="11"/>
  <c r="J26" i="11"/>
  <c r="K16" i="11"/>
  <c r="R69" i="13"/>
  <c r="E18" i="11"/>
  <c r="C62" i="13"/>
  <c r="B62" i="13" s="1"/>
  <c r="R64" i="13"/>
  <c r="J18" i="11"/>
  <c r="L62" i="13"/>
  <c r="Q61" i="13"/>
  <c r="R61" i="13" s="1"/>
  <c r="J21" i="11"/>
  <c r="B71" i="13" l="1"/>
  <c r="B83" i="13"/>
  <c r="B85" i="13"/>
  <c r="B76" i="13"/>
  <c r="B75" i="13"/>
  <c r="B82" i="13"/>
  <c r="B77" i="13"/>
  <c r="B79" i="13"/>
  <c r="C92" i="9"/>
  <c r="D92" i="9" s="1"/>
  <c r="L8" i="11"/>
  <c r="AQ31" i="15" s="1"/>
  <c r="AX31" i="15" s="1"/>
  <c r="L67" i="13"/>
  <c r="E66" i="13"/>
  <c r="L68" i="13"/>
  <c r="L65" i="13"/>
  <c r="L69" i="13"/>
  <c r="Q32" i="15"/>
  <c r="E21" i="11"/>
  <c r="F21" i="11" s="1"/>
  <c r="AC18" i="10"/>
  <c r="AP18" i="10" s="1"/>
  <c r="AY18" i="10" s="1"/>
  <c r="E34" i="11" s="1"/>
  <c r="F34" i="11" s="1"/>
  <c r="AC23" i="10"/>
  <c r="AP23" i="10" s="1"/>
  <c r="AY23" i="10" s="1"/>
  <c r="AI34" i="15"/>
  <c r="AB34" i="15"/>
  <c r="AQ34" i="15"/>
  <c r="J12" i="11"/>
  <c r="Q34" i="15" s="1"/>
  <c r="K62" i="13"/>
  <c r="E32" i="11"/>
  <c r="F32" i="11" s="1"/>
  <c r="Q36" i="15"/>
  <c r="F24" i="11"/>
  <c r="AB36" i="15"/>
  <c r="AQ36" i="15"/>
  <c r="AI36" i="15"/>
  <c r="Q44" i="15"/>
  <c r="AX44" i="15" s="1"/>
  <c r="V36" i="15"/>
  <c r="E36" i="11"/>
  <c r="F36" i="11" s="1"/>
  <c r="E33" i="11"/>
  <c r="F33" i="11" s="1"/>
  <c r="E23" i="11"/>
  <c r="F23" i="11" s="1"/>
  <c r="J34" i="11"/>
  <c r="J33" i="11"/>
  <c r="H37" i="11"/>
  <c r="K18" i="11"/>
  <c r="H38" i="11"/>
  <c r="J38" i="11"/>
  <c r="C67" i="13"/>
  <c r="B67" i="13" s="1"/>
  <c r="E68" i="13"/>
  <c r="J20" i="11"/>
  <c r="Q35" i="15" s="1"/>
  <c r="J23" i="11"/>
  <c r="C65" i="13"/>
  <c r="B65" i="13" s="1"/>
  <c r="K65" i="13"/>
  <c r="AW8" i="10"/>
  <c r="C66" i="13"/>
  <c r="B66" i="13" s="1"/>
  <c r="C63" i="13"/>
  <c r="B63" i="13" s="1"/>
  <c r="E63" i="13"/>
  <c r="L63" i="13"/>
  <c r="J37" i="11"/>
  <c r="L66" i="13"/>
  <c r="K63" i="13"/>
  <c r="H35" i="11"/>
  <c r="E65" i="13"/>
  <c r="J36" i="11"/>
  <c r="J32" i="11"/>
  <c r="C68" i="13"/>
  <c r="B68" i="13" s="1"/>
  <c r="E67" i="13"/>
  <c r="C69" i="13"/>
  <c r="B69" i="13" s="1"/>
  <c r="E69" i="13"/>
  <c r="AI37" i="15"/>
  <c r="K64" i="13"/>
  <c r="Q37" i="15"/>
  <c r="AQ37" i="15"/>
  <c r="E64" i="13"/>
  <c r="F14" i="11"/>
  <c r="AB37" i="15"/>
  <c r="F40" i="11"/>
  <c r="AB44" i="15"/>
  <c r="L64" i="13"/>
  <c r="F12" i="11"/>
  <c r="V37" i="15"/>
  <c r="C64" i="13"/>
  <c r="B64" i="13" s="1"/>
  <c r="F18" i="11"/>
  <c r="AB35" i="15"/>
  <c r="K67" i="13"/>
  <c r="K69" i="13"/>
  <c r="C61" i="13"/>
  <c r="B61" i="13" s="1"/>
  <c r="K61" i="13"/>
  <c r="L61" i="13"/>
  <c r="E61" i="13"/>
  <c r="S61" i="8" l="1"/>
  <c r="S59" i="8"/>
  <c r="I67" i="13"/>
  <c r="J67" i="13" s="1"/>
  <c r="K38" i="11"/>
  <c r="BG5" i="10"/>
  <c r="I65" i="13" s="1"/>
  <c r="J65" i="13" s="1"/>
  <c r="AB32" i="15"/>
  <c r="Q42" i="15"/>
  <c r="Q41" i="15"/>
  <c r="K12" i="11"/>
  <c r="K13" i="11"/>
  <c r="AX36" i="15"/>
  <c r="AB42" i="15"/>
  <c r="E28" i="11"/>
  <c r="AB33" i="15"/>
  <c r="AB41" i="15"/>
  <c r="E41" i="11"/>
  <c r="K33" i="11"/>
  <c r="K37" i="11"/>
  <c r="K36" i="11"/>
  <c r="J28" i="11"/>
  <c r="K34" i="11"/>
  <c r="K35" i="11"/>
  <c r="J41" i="11"/>
  <c r="F28" i="11"/>
  <c r="F41" i="11"/>
  <c r="AX37" i="15"/>
  <c r="K21" i="11"/>
  <c r="I61" i="13" l="1"/>
  <c r="J61" i="13" s="1"/>
  <c r="I62" i="13"/>
  <c r="J62" i="13" s="1"/>
  <c r="I63" i="13"/>
  <c r="J63" i="13" s="1"/>
  <c r="I64" i="13"/>
  <c r="J64" i="13" s="1"/>
  <c r="I69" i="13"/>
  <c r="J69" i="13" s="1"/>
  <c r="Y14" i="15"/>
  <c r="C18" i="13"/>
  <c r="V34" i="15"/>
  <c r="AX34" i="15" s="1"/>
  <c r="V32" i="15"/>
  <c r="Y18" i="15"/>
  <c r="V42" i="15"/>
  <c r="I18" i="14" l="1"/>
  <c r="BA16" i="15"/>
  <c r="K66" i="13"/>
  <c r="I66" i="13" l="1"/>
  <c r="J66" i="13" s="1"/>
  <c r="D38" i="11"/>
  <c r="D37" i="11"/>
  <c r="K20" i="11"/>
  <c r="V35" i="15" s="1"/>
  <c r="K68" i="13"/>
  <c r="I68" i="13" l="1"/>
  <c r="J68" i="13" s="1"/>
  <c r="L38" i="11"/>
  <c r="K23" i="11"/>
  <c r="K32" i="11"/>
  <c r="D18" i="11"/>
  <c r="K41" i="11" l="1"/>
  <c r="B48" i="11" s="1"/>
  <c r="V41" i="15"/>
  <c r="V33" i="15"/>
  <c r="K28" i="11"/>
  <c r="B47" i="11" s="1"/>
  <c r="L18" i="11"/>
  <c r="L35" i="11" l="1"/>
  <c r="L37" i="11"/>
  <c r="D35" i="11"/>
  <c r="D106" i="9"/>
  <c r="D105" i="9" s="1"/>
  <c r="R37" i="8" l="1"/>
  <c r="E105" i="9"/>
  <c r="D103" i="9"/>
  <c r="D104" i="9"/>
  <c r="Y43" i="10" l="1"/>
  <c r="AO43" i="10" s="1"/>
  <c r="AX43" i="10" s="1"/>
  <c r="Y48" i="10"/>
  <c r="AO48" i="10" s="1"/>
  <c r="AD37" i="8"/>
  <c r="AE37" i="8" s="1"/>
  <c r="AF37" i="8" s="1"/>
  <c r="E104" i="9"/>
  <c r="R35" i="8"/>
  <c r="AD35" i="8" s="1"/>
  <c r="AE35" i="8" s="1"/>
  <c r="AF35" i="8" s="1"/>
  <c r="R36" i="8"/>
  <c r="AD36" i="8" s="1"/>
  <c r="AE36" i="8" s="1"/>
  <c r="AF36" i="8" s="1"/>
  <c r="E103" i="9"/>
  <c r="AR43" i="10" l="1"/>
  <c r="AU43" i="10" s="1"/>
  <c r="AX48" i="10"/>
  <c r="AR48" i="10"/>
  <c r="D93" i="9"/>
  <c r="C93" i="9"/>
  <c r="BA43" i="10" l="1"/>
  <c r="AU48" i="10"/>
  <c r="BA48" i="10"/>
  <c r="E93" i="9"/>
  <c r="K82" i="9"/>
  <c r="M82" i="9" s="1"/>
  <c r="D91" i="9"/>
  <c r="S56" i="8" l="1"/>
  <c r="S55" i="8"/>
  <c r="S50" i="8"/>
  <c r="S49" i="8"/>
  <c r="S30" i="8"/>
  <c r="S31" i="8"/>
  <c r="S33" i="8"/>
  <c r="K81" i="9"/>
  <c r="M81" i="9" s="1"/>
  <c r="X13" i="10"/>
  <c r="AQ13" i="10" s="1"/>
  <c r="S32" i="8"/>
  <c r="R30" i="8"/>
  <c r="V13" i="10" s="1"/>
  <c r="R29" i="8"/>
  <c r="AC29" i="8" s="1"/>
  <c r="AD29" i="8" s="1"/>
  <c r="AE29" i="8" s="1"/>
  <c r="AF29" i="8" s="1"/>
  <c r="S34" i="8"/>
  <c r="R34" i="8"/>
  <c r="R33" i="8"/>
  <c r="R31" i="8"/>
  <c r="R32" i="8"/>
  <c r="R28" i="8"/>
  <c r="R58" i="8"/>
  <c r="AD8" i="10"/>
  <c r="R61" i="8" l="1"/>
  <c r="R59" i="8"/>
  <c r="R45" i="8"/>
  <c r="AC45" i="8" s="1"/>
  <c r="AD45" i="8" s="1"/>
  <c r="AE45" i="8" s="1"/>
  <c r="AF45" i="8" s="1"/>
  <c r="R47" i="8"/>
  <c r="AC47" i="8" s="1"/>
  <c r="AD47" i="8" s="1"/>
  <c r="AE47" i="8" s="1"/>
  <c r="AF47" i="8" s="1"/>
  <c r="R60" i="8"/>
  <c r="R46" i="8"/>
  <c r="AC46" i="8" s="1"/>
  <c r="AD46" i="8" s="1"/>
  <c r="AE46" i="8" s="1"/>
  <c r="AF46" i="8" s="1"/>
  <c r="S60" i="8"/>
  <c r="K80" i="9"/>
  <c r="L81" i="9"/>
  <c r="R56" i="8"/>
  <c r="R49" i="8"/>
  <c r="R39" i="8"/>
  <c r="AC39" i="8" s="1"/>
  <c r="AD39" i="8" s="1"/>
  <c r="AE39" i="8" s="1"/>
  <c r="AF39" i="8" s="1"/>
  <c r="R54" i="8"/>
  <c r="R50" i="8"/>
  <c r="R53" i="8"/>
  <c r="R52" i="8"/>
  <c r="S57" i="8"/>
  <c r="R44" i="8"/>
  <c r="AC44" i="8" s="1"/>
  <c r="AD44" i="8" s="1"/>
  <c r="AE44" i="8" s="1"/>
  <c r="AF44" i="8" s="1"/>
  <c r="R43" i="8"/>
  <c r="AC43" i="8" s="1"/>
  <c r="AD43" i="8" s="1"/>
  <c r="AE43" i="8" s="1"/>
  <c r="AF43" i="8" s="1"/>
  <c r="S54" i="8"/>
  <c r="R40" i="8"/>
  <c r="AC40" i="8" s="1"/>
  <c r="AD40" i="8" s="1"/>
  <c r="AE40" i="8" s="1"/>
  <c r="AF40" i="8" s="1"/>
  <c r="R55" i="8"/>
  <c r="R57" i="8"/>
  <c r="S52" i="8"/>
  <c r="R42" i="8"/>
  <c r="AC42" i="8" s="1"/>
  <c r="AD42" i="8" s="1"/>
  <c r="AE42" i="8" s="1"/>
  <c r="AF42" i="8" s="1"/>
  <c r="R51" i="8"/>
  <c r="R41" i="8"/>
  <c r="AC41" i="8" s="1"/>
  <c r="AD41" i="8" s="1"/>
  <c r="AE41" i="8" s="1"/>
  <c r="AF41" i="8" s="1"/>
  <c r="R48" i="8"/>
  <c r="AC48" i="8" s="1"/>
  <c r="AD48" i="8" s="1"/>
  <c r="AE48" i="8" s="1"/>
  <c r="AF48" i="8" s="1"/>
  <c r="S51" i="8"/>
  <c r="R38" i="8"/>
  <c r="AC38" i="8" s="1"/>
  <c r="AD38" i="8" s="1"/>
  <c r="AE38" i="8" s="1"/>
  <c r="AF38" i="8" s="1"/>
  <c r="S53" i="8"/>
  <c r="S58" i="8"/>
  <c r="AD18" i="10"/>
  <c r="AQ18" i="10" s="1"/>
  <c r="AZ18" i="10" s="1"/>
  <c r="AD23" i="10"/>
  <c r="AQ23" i="10" s="1"/>
  <c r="AB18" i="10"/>
  <c r="AO18" i="10" s="1"/>
  <c r="AX18" i="10" s="1"/>
  <c r="AB23" i="10"/>
  <c r="AO23" i="10" s="1"/>
  <c r="AS13" i="10"/>
  <c r="BB13" i="10" s="1"/>
  <c r="BC13" i="10" s="1"/>
  <c r="AZ13" i="10"/>
  <c r="V8" i="10"/>
  <c r="X8" i="10"/>
  <c r="AQ8" i="10" s="1"/>
  <c r="AD28" i="8"/>
  <c r="AE28" i="8" s="1"/>
  <c r="AF28" i="8" s="1"/>
  <c r="AC28" i="8"/>
  <c r="AB13" i="10" l="1"/>
  <c r="AO13" i="10" s="1"/>
  <c r="AX13" i="10" s="1"/>
  <c r="D23" i="11" s="1"/>
  <c r="AI33" i="15" s="1"/>
  <c r="AB28" i="10"/>
  <c r="AO28" i="10" s="1"/>
  <c r="AX28" i="10" s="1"/>
  <c r="L80" i="9"/>
  <c r="AB8" i="10"/>
  <c r="AO8" i="10" s="1"/>
  <c r="AR8" i="10" s="1"/>
  <c r="AS18" i="10"/>
  <c r="BB18" i="10" s="1"/>
  <c r="BC18" i="10" s="1"/>
  <c r="AR18" i="10"/>
  <c r="AX23" i="10"/>
  <c r="AR23" i="10"/>
  <c r="AU23" i="10" s="1"/>
  <c r="AS23" i="10"/>
  <c r="BB23" i="10" s="1"/>
  <c r="BC23" i="10" s="1"/>
  <c r="AZ23" i="10"/>
  <c r="AZ8" i="10"/>
  <c r="AS8" i="10"/>
  <c r="BB8" i="10" s="1"/>
  <c r="H32" i="11" s="1"/>
  <c r="G34" i="11"/>
  <c r="D34" i="11"/>
  <c r="H33" i="11"/>
  <c r="AR13" i="10" l="1"/>
  <c r="AU13" i="10" s="1"/>
  <c r="AR28" i="10"/>
  <c r="BA28" i="10" s="1"/>
  <c r="M83" i="9"/>
  <c r="M84" i="9" s="1"/>
  <c r="BA8" i="10"/>
  <c r="AU8" i="10"/>
  <c r="BA18" i="10"/>
  <c r="AU18" i="10"/>
  <c r="H34" i="11"/>
  <c r="AL41" i="15" s="1"/>
  <c r="BA23" i="10"/>
  <c r="L33" i="11"/>
  <c r="G32" i="11"/>
  <c r="G33" i="11"/>
  <c r="Y20" i="15"/>
  <c r="BC8" i="10"/>
  <c r="BC5" i="10" s="1"/>
  <c r="Y22" i="15" s="1"/>
  <c r="V43" i="15" s="1"/>
  <c r="Y16" i="15" s="1"/>
  <c r="G36" i="11"/>
  <c r="AX8" i="10"/>
  <c r="D20" i="11" s="1"/>
  <c r="AI35" i="15" s="1"/>
  <c r="H36" i="11"/>
  <c r="AL42" i="15" s="1"/>
  <c r="D32" i="11"/>
  <c r="L34" i="11"/>
  <c r="BA13" i="10" l="1"/>
  <c r="L21" i="11"/>
  <c r="AQ32" i="15" s="1"/>
  <c r="AX32" i="15" s="1"/>
  <c r="AU28" i="10"/>
  <c r="L32" i="11"/>
  <c r="AQ41" i="15" s="1"/>
  <c r="AX41" i="15" s="1"/>
  <c r="L20" i="11"/>
  <c r="AQ35" i="15" s="1"/>
  <c r="AX35" i="15" s="1"/>
  <c r="L36" i="11"/>
  <c r="AQ42" i="15" s="1"/>
  <c r="AX42" i="15" s="1"/>
  <c r="L23" i="11"/>
  <c r="AQ33" i="15" s="1"/>
  <c r="AX33" i="15" s="1"/>
  <c r="D33" i="11"/>
  <c r="AG41" i="15" s="1"/>
  <c r="D21" i="11"/>
  <c r="D50" i="11"/>
  <c r="K44" i="11"/>
  <c r="B49" i="11" s="1"/>
  <c r="D36" i="11"/>
  <c r="AG42" i="15" s="1"/>
  <c r="L57" i="13"/>
  <c r="B57" i="13" s="1"/>
  <c r="G41" i="11"/>
  <c r="H41" i="11"/>
  <c r="Y21" i="15"/>
  <c r="K22" i="13" s="1"/>
  <c r="L41" i="11" l="1"/>
  <c r="L28" i="11"/>
  <c r="AI32" i="15"/>
  <c r="K18" i="13" s="1"/>
  <c r="D28" i="11"/>
  <c r="B50" i="11"/>
  <c r="C49" i="11"/>
  <c r="B51" i="11"/>
  <c r="BA17" i="15"/>
  <c r="K20" i="13"/>
  <c r="D41" i="11"/>
  <c r="I57" i="13"/>
  <c r="J57" i="13"/>
  <c r="C22" i="13"/>
  <c r="Y17" i="15"/>
  <c r="BA18" i="15" s="1"/>
  <c r="Y19" i="15" l="1"/>
  <c r="BA21" i="15" s="1"/>
  <c r="C47" i="11"/>
  <c r="C48" i="11"/>
  <c r="Y23" i="15"/>
  <c r="C5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Shen, Johnson</author>
  </authors>
  <commentList>
    <comment ref="C65" authorId="0" shapeId="0" xr:uid="{23D93FFD-384A-464E-9900-30357C977913}">
      <text>
        <r>
          <rPr>
            <b/>
            <sz val="9"/>
            <color indexed="81"/>
            <rFont val="Tahoma"/>
            <family val="2"/>
          </rPr>
          <t>Study Phase - Analysis of measures at feasibility study stage to determine energy and cost impacts.
Rebate Application - Selected measures are submitted for rebates, prior to implementation.
As-built - Implemented measures are presented for validation.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Shen, Johnson</author>
  </authors>
  <commentList>
    <comment ref="F2" authorId="0" shapeId="0" xr:uid="{CF0F6E63-5906-43D9-B25E-E972A28C2000}">
      <text>
        <r>
          <rPr>
            <sz val="9"/>
            <color indexed="81"/>
            <rFont val="Tahoma"/>
            <family val="2"/>
          </rPr>
          <t xml:space="preserve">Electrical service upgrade cost to support all measures recommended or selected for implementation. Cost must be provided when applying for electrical capacity rebates with accuracy of +/-30%.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Shen, Johnson</author>
  </authors>
  <commentList>
    <comment ref="Y16" authorId="0" shapeId="0" xr:uid="{CEDA02E6-AC97-4490-AD0A-4160457DA8A4}">
      <text>
        <r>
          <rPr>
            <sz val="9"/>
            <color indexed="81"/>
            <rFont val="Tahoma"/>
            <family val="2"/>
          </rPr>
          <t>Rebate for Lighting and Mechanical measures are capped at 50% of the project cost (not including electrical service costs) or $500,000.
Rebate for electrical service upgrade capped at $200,000.
Rebate caps are applied here, value shown may not equal the combined value of individual measure rebates.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awai</author>
  </authors>
  <commentList>
    <comment ref="I2" authorId="0" shapeId="0" xr:uid="{F7A601CF-4B93-4B0F-B1FD-AA5934A380BE}">
      <text>
        <r>
          <rPr>
            <b/>
            <sz val="9"/>
            <color indexed="48"/>
            <rFont val="Tahoma"/>
            <family val="2"/>
          </rPr>
          <t>Estimated energy savings that are incentable by BC Hydro</t>
        </r>
      </text>
    </comment>
    <comment ref="K2" authorId="0" shapeId="0" xr:uid="{0BB0C047-A582-497A-9D90-A7DDC450857C}">
      <text>
        <r>
          <rPr>
            <b/>
            <sz val="9"/>
            <color indexed="48"/>
            <rFont val="Tahoma"/>
            <family val="2"/>
          </rPr>
          <t>Estimated energy savings that are incentable by BC Hydro</t>
        </r>
      </text>
    </comment>
    <comment ref="K11" authorId="0" shapeId="0" xr:uid="{7EB4AF2B-26E9-4992-B30D-512810D9EFA8}">
      <text>
        <r>
          <rPr>
            <b/>
            <sz val="9"/>
            <color indexed="48"/>
            <rFont val="Tahoma"/>
            <family val="2"/>
          </rPr>
          <t>Estimated energy savings that are incentable by BC Hydro</t>
        </r>
      </text>
    </comment>
    <comment ref="K31" authorId="0" shapeId="0" xr:uid="{668B9C82-0009-47C3-9116-6233DD851872}">
      <text>
        <r>
          <rPr>
            <b/>
            <sz val="9"/>
            <color indexed="48"/>
            <rFont val="Tahoma"/>
            <family val="2"/>
          </rPr>
          <t>Estimated energy savings that are incentable by BC Hydro</t>
        </r>
      </text>
    </comment>
    <comment ref="K43" authorId="0" shapeId="0" xr:uid="{123D288B-B94F-4613-8F62-3CDB6596D7C9}">
      <text>
        <r>
          <rPr>
            <b/>
            <sz val="9"/>
            <color indexed="48"/>
            <rFont val="Tahoma"/>
            <family val="2"/>
          </rPr>
          <t>Estimated energy savings that are incentable by BC Hydro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<sst xmlns="http://schemas.openxmlformats.org/spreadsheetml/2006/main" count="2269" uniqueCount="839">
  <si>
    <t>BC Hydro xRM ECM</t>
  </si>
  <si>
    <t>LED luminaire and retrofit kit</t>
  </si>
  <si>
    <t>None</t>
  </si>
  <si>
    <t>Exterior LED Signage</t>
  </si>
  <si>
    <t>LED replaceable reflector lamp in non-residential setting (screw-in/snap-in)</t>
  </si>
  <si>
    <t>Space Type</t>
  </si>
  <si>
    <t>Hours</t>
  </si>
  <si>
    <t>Tubular LED Lamps</t>
  </si>
  <si>
    <t xml:space="preserve">Common areas </t>
  </si>
  <si>
    <t>-</t>
  </si>
  <si>
    <t>Lobby</t>
  </si>
  <si>
    <t>Hall/Corridor</t>
  </si>
  <si>
    <t>Stairwell</t>
  </si>
  <si>
    <t xml:space="preserve">Underground Parking </t>
  </si>
  <si>
    <t xml:space="preserve">Offices </t>
  </si>
  <si>
    <t>Storage Rooms</t>
  </si>
  <si>
    <t xml:space="preserve">Exterior  </t>
  </si>
  <si>
    <t>BC Hydro Rebate Category</t>
  </si>
  <si>
    <t>Rebate</t>
  </si>
  <si>
    <t>Rebate Unit</t>
  </si>
  <si>
    <t>Retrofit W</t>
  </si>
  <si>
    <t>Rebate Savings</t>
  </si>
  <si>
    <t>Schedule B - Count</t>
  </si>
  <si>
    <t>per luminaire</t>
  </si>
  <si>
    <t>Baseline / Existing Lighting System</t>
  </si>
  <si>
    <t>No</t>
  </si>
  <si>
    <t>Space Description</t>
  </si>
  <si>
    <t>LED lamp/luminaire retrofit part #</t>
  </si>
  <si>
    <t>Lighting Rebate</t>
  </si>
  <si>
    <t>Controls Rebate</t>
  </si>
  <si>
    <t>Rebate kW Savings</t>
  </si>
  <si>
    <t>Rebate kWh savings</t>
  </si>
  <si>
    <t>Controls Rebate kWh Savings</t>
  </si>
  <si>
    <t>Total Lighting Rebate Energy Savings</t>
  </si>
  <si>
    <t>Demand Savings, kW</t>
  </si>
  <si>
    <t>Energy Savings, kWh</t>
  </si>
  <si>
    <t>BCH Peak kW</t>
  </si>
  <si>
    <t>LED BR reflector lamp ≤ 18W</t>
  </si>
  <si>
    <t>per lamp</t>
  </si>
  <si>
    <t>Control Options</t>
  </si>
  <si>
    <t>Fixture Integrated Occupancy/Daylight Harvesting Sensor</t>
  </si>
  <si>
    <t>Ceiling/Wall Mounted Occupancy/Daylight Harvesting  Sensor</t>
  </si>
  <si>
    <t>Artificial Baseline W</t>
  </si>
  <si>
    <t>Control Savings</t>
  </si>
  <si>
    <t>Concatenate ECM and Part Number</t>
  </si>
  <si>
    <t>Reviewed Demand Savings</t>
  </si>
  <si>
    <t>VI Morning Demand Reduction (7am - 11am)</t>
  </si>
  <si>
    <t>BCH System Peak Demand Reduction (5pm - 9pm)</t>
  </si>
  <si>
    <t>Winter Morning Peak (7am - 11am)</t>
  </si>
  <si>
    <t>Summer Daytime Peak (Noon - 4pm)</t>
  </si>
  <si>
    <t>ECMs</t>
  </si>
  <si>
    <t>Total</t>
  </si>
  <si>
    <t>BCH Peak Demand Hrs</t>
  </si>
  <si>
    <t>Lighting control - New</t>
  </si>
  <si>
    <t>Annual hours from space type</t>
  </si>
  <si>
    <t>#</t>
  </si>
  <si>
    <t>Part number</t>
  </si>
  <si>
    <t>Light or Mech</t>
  </si>
  <si>
    <t>Unique Identifiers</t>
  </si>
  <si>
    <t>none</t>
  </si>
  <si>
    <t>Custom Savings Variables</t>
  </si>
  <si>
    <t>solar should be pointed to different program</t>
  </si>
  <si>
    <t>Common</t>
  </si>
  <si>
    <t>Suite</t>
  </si>
  <si>
    <t>eRate</t>
  </si>
  <si>
    <t>EE</t>
  </si>
  <si>
    <t>Var</t>
  </si>
  <si>
    <t>Commercial Kitchen</t>
  </si>
  <si>
    <t>HVAC-HP</t>
  </si>
  <si>
    <t>HVAC-HRV</t>
  </si>
  <si>
    <t>Mechanical</t>
  </si>
  <si>
    <t>DHW</t>
  </si>
  <si>
    <t>Refrigeration</t>
  </si>
  <si>
    <t>Refrig-Cases</t>
  </si>
  <si>
    <t>Tstat</t>
  </si>
  <si>
    <t>Envelope</t>
  </si>
  <si>
    <t>Windows</t>
  </si>
  <si>
    <t>$/kWh</t>
  </si>
  <si>
    <t>HVAC</t>
  </si>
  <si>
    <t>Kitchen</t>
  </si>
  <si>
    <t>Motor HP</t>
  </si>
  <si>
    <t>$/kW</t>
  </si>
  <si>
    <t>Central DHW Air-to-Water CO2 HP Water Heater</t>
  </si>
  <si>
    <t>ENERGY STAR Electric Convection Oven (Full)</t>
  </si>
  <si>
    <t>Parkade CO - HVAC Controls</t>
  </si>
  <si>
    <t>Anti-Sweat Heater Humidistat Control</t>
  </si>
  <si>
    <t>$/GJ</t>
  </si>
  <si>
    <t>In suite DHW All-in-one Air HP (supplemental elec)</t>
  </si>
  <si>
    <t>In suite ERV and HRV</t>
  </si>
  <si>
    <t>ENERGY STAR Electric Convection Oven (Half)</t>
  </si>
  <si>
    <t>Variable Speed Drive for Motors, &lt;20 HP</t>
  </si>
  <si>
    <t>Refrigerated Display Case Night Cover</t>
  </si>
  <si>
    <t>ENERGY STAR Electric Griddle</t>
  </si>
  <si>
    <t>Variable Speed Drive for Motors, &gt;20 HP</t>
  </si>
  <si>
    <t>ENERGY STAR Electric Hot Food Holding Cabinet, 368 to 793 L (13 to 28 ft3)</t>
  </si>
  <si>
    <t>ENERGY STAR Glass Door Refrigerator, 425 to 850 L (15 to 30 ft3)</t>
  </si>
  <si>
    <t>residential</t>
  </si>
  <si>
    <t>ENERGY STAR Electric Hot Food Holding Cabinet, Greater than 793 L (Greater than 28 ft3)</t>
  </si>
  <si>
    <t>ENERGY STAR Glass Door Refrigerator, 850 to 1416 L (30 to 50 ft3)</t>
  </si>
  <si>
    <t>small general service</t>
  </si>
  <si>
    <t>ENERGY STAR Electric Hot Food Holding Cabinet, Less than 368 L (Less than 13 ft3)</t>
  </si>
  <si>
    <t>ENERGY STAR Glass Door Refrigerator, Greater than 1416 L (Greater than 50 ft3)</t>
  </si>
  <si>
    <t>medium general service</t>
  </si>
  <si>
    <t>Rooftop HP MUA (supplemental elec)</t>
  </si>
  <si>
    <t>ENERGY STAR Electric Steam Cooker - 3 pan</t>
  </si>
  <si>
    <t>ENERGY STAR Glass Door Refrigerator, Less than 425 L (Less than 15 ft3)</t>
  </si>
  <si>
    <t>large general service</t>
  </si>
  <si>
    <t>ENERGY STAR Electric Steam Cooker - 4 pan</t>
  </si>
  <si>
    <t>ENERGY STAR Solid Door Refrigerator, 425 to 850 L (15 to 30 ft3)</t>
  </si>
  <si>
    <t>Total Capital Cost ($)</t>
  </si>
  <si>
    <t xml:space="preserve">R-value </t>
  </si>
  <si>
    <t>Thermostat</t>
  </si>
  <si>
    <t>ENERGY STAR Electric Steam Cooker - 5 pan</t>
  </si>
  <si>
    <t>ENERGY STAR Solid Door Refrigerator, 850 to 1416 L (30 to 50 ft3)</t>
  </si>
  <si>
    <t>Recovery Efficiency (%)</t>
  </si>
  <si>
    <t>ENERGY STAR Electric Steam Cooker - 6 pan</t>
  </si>
  <si>
    <t>ENERGY STAR Solid Door Refrigerator, Greater than 1416 L (Greater than 50 ft3)</t>
  </si>
  <si>
    <t>HSPF2</t>
  </si>
  <si>
    <t>ENERGY STAR Electrically-Heated Dishwasher (Single Tank Conveyor, High Temperature)</t>
  </si>
  <si>
    <t xml:space="preserve">ENERGY STAR Solid Door Refrigerator, Less than 425 L (Less than 15 ft3) </t>
  </si>
  <si>
    <t>SEER2</t>
  </si>
  <si>
    <t>ENERGY STAR Electrically-Heated Dishwasher (Single Tank Door, High Temperature)</t>
  </si>
  <si>
    <t>Display Case with Doors to Replace Open Multi-deck Refrigerated Display Case (Medium Temperature)</t>
  </si>
  <si>
    <t>ENERGY STAR Electrically-Heated Dishwasher (Single Tank Door, Low Temperature)</t>
  </si>
  <si>
    <t>Electronically Commutated Motor System (Low Temperature)</t>
  </si>
  <si>
    <t>User input</t>
  </si>
  <si>
    <t>ENERGY STAR Electrically-Heated Dishwasher, Under Counter (High Temperature)</t>
  </si>
  <si>
    <t>Electronically Commutated Motor System (Medium Temperature)</t>
  </si>
  <si>
    <t>ENERGY STAR Large Vat Fryer</t>
  </si>
  <si>
    <t>Formula</t>
  </si>
  <si>
    <t>ENERGY STAR Standard Size Fryer</t>
  </si>
  <si>
    <t>information</t>
  </si>
  <si>
    <t>LCE</t>
  </si>
  <si>
    <t>Table header</t>
  </si>
  <si>
    <t>Section Header</t>
  </si>
  <si>
    <t>In suite DHW All-in-one Air HP (supplemental gas)</t>
  </si>
  <si>
    <t>Central DHW Electric Water Heater</t>
  </si>
  <si>
    <t>In suite DHW Electric Water Heater</t>
  </si>
  <si>
    <t>Rooftop HP MUA (supplemental gas)</t>
  </si>
  <si>
    <t>Category</t>
  </si>
  <si>
    <t>Type</t>
  </si>
  <si>
    <t>BCH Rerofit Technology</t>
  </si>
  <si>
    <t>Unique Name</t>
  </si>
  <si>
    <t>Equivalent xRM End Use</t>
  </si>
  <si>
    <t>Equivalent xRM ECM</t>
  </si>
  <si>
    <t>Persistence</t>
  </si>
  <si>
    <t>BC Hydro Rebate</t>
  </si>
  <si>
    <t>BC Hydro pu</t>
  </si>
  <si>
    <t>Incentive Comments</t>
  </si>
  <si>
    <t>Baseline annual kWh</t>
  </si>
  <si>
    <t>New annual kWh</t>
  </si>
  <si>
    <t>Elec Savings kWh</t>
  </si>
  <si>
    <t>Gas Savings kWh</t>
  </si>
  <si>
    <t>kW Savings</t>
  </si>
  <si>
    <t>Source</t>
  </si>
  <si>
    <t>CalcMethod</t>
  </si>
  <si>
    <t>Efficient food preparation equipment</t>
  </si>
  <si>
    <t>per oven</t>
  </si>
  <si>
    <t>From Previous Rebate Calculator</t>
  </si>
  <si>
    <t>user input</t>
  </si>
  <si>
    <t>per griddle</t>
  </si>
  <si>
    <t>Insulated Hot Food Holding Cabinet</t>
  </si>
  <si>
    <t>per holding cabinet</t>
  </si>
  <si>
    <t>per steam cooker</t>
  </si>
  <si>
    <t>Efficient conveyor dishwasher</t>
  </si>
  <si>
    <t>per dishwasher</t>
  </si>
  <si>
    <t>per fryer</t>
  </si>
  <si>
    <t>Domestic Hot Water</t>
  </si>
  <si>
    <t>suggest revision based on capacity, previous SHRSP was based on quantity however units come in different sizes which isn't applicable for central systems.</t>
  </si>
  <si>
    <t>Air-to-Water Heat Pump Water Heater</t>
  </si>
  <si>
    <t>per unit</t>
  </si>
  <si>
    <t xml:space="preserve">From SHRSP </t>
  </si>
  <si>
    <t>adopted from SHRSP</t>
  </si>
  <si>
    <t>Electric Water Heater</t>
  </si>
  <si>
    <t>Electric Boiler</t>
  </si>
  <si>
    <t>place holder value</t>
  </si>
  <si>
    <t>Roof Insulation Increase</t>
  </si>
  <si>
    <t>per square feet</t>
  </si>
  <si>
    <t>adopted from SHRSP, should be adjusted</t>
  </si>
  <si>
    <t>Wall Insulation Increase</t>
  </si>
  <si>
    <t>Heating equipment upgrade including heat pumps and packaged HVAC</t>
  </si>
  <si>
    <t>per ton</t>
  </si>
  <si>
    <t>from SHRSP but simplified, remove capacity thresholds</t>
  </si>
  <si>
    <t>Air-to-Air Heat Pump (ductless or minisplit)</t>
  </si>
  <si>
    <t>adopted from SHRSP but simplified</t>
  </si>
  <si>
    <t>Air Source VRF Distributed Heat Pumps</t>
  </si>
  <si>
    <t>calc</t>
  </si>
  <si>
    <t>CO based parkade ventilation control</t>
  </si>
  <si>
    <t>Anti-sweat heater humidistat control</t>
  </si>
  <si>
    <t>Refrigerators</t>
  </si>
  <si>
    <t>per refrigerator</t>
  </si>
  <si>
    <t>Refrigerator display case with doors, low/medium temp</t>
  </si>
  <si>
    <t>per motor</t>
  </si>
  <si>
    <t>negligible</t>
  </si>
  <si>
    <t>Project Information</t>
  </si>
  <si>
    <t>BC Climate Zone Per BC Building Code</t>
  </si>
  <si>
    <t>HIDE RIGHT OF HERE</t>
  </si>
  <si>
    <t>Organization</t>
  </si>
  <si>
    <t>*</t>
  </si>
  <si>
    <t>Site Name</t>
  </si>
  <si>
    <t>Site Address</t>
  </si>
  <si>
    <t>What climate zone is this building located in?</t>
  </si>
  <si>
    <t>do city selection and have a table for climate zone</t>
  </si>
  <si>
    <t>When was the building constructed?</t>
  </si>
  <si>
    <t>What is the electricity service rate for common areas?</t>
  </si>
  <si>
    <t>What is the electricity service rate for residential suites?</t>
  </si>
  <si>
    <t>Total number of suites?</t>
  </si>
  <si>
    <t>Monthly Gas Utility Data</t>
  </si>
  <si>
    <t>Building Type</t>
  </si>
  <si>
    <t>L/s per 100 m2</t>
  </si>
  <si>
    <t>from ashrae 62.1</t>
  </si>
  <si>
    <t>Avg. area per floor (ft2)</t>
  </si>
  <si>
    <t>L/s per person</t>
  </si>
  <si>
    <t>Perimeter per floor (ft)</t>
  </si>
  <si>
    <t>Month</t>
  </si>
  <si>
    <t>Natural Gas (GJ)</t>
  </si>
  <si>
    <t>for low rise</t>
  </si>
  <si>
    <t>Wall Area (ft2)</t>
  </si>
  <si>
    <t>January</t>
  </si>
  <si>
    <t>for high rise</t>
  </si>
  <si>
    <t>Window Area (ft2)</t>
  </si>
  <si>
    <t>February</t>
  </si>
  <si>
    <t>Roof Area (ft2)</t>
  </si>
  <si>
    <t>March</t>
  </si>
  <si>
    <t>Estimated outdoor air rate (L/s)</t>
  </si>
  <si>
    <t>April</t>
  </si>
  <si>
    <t>Total Heating Energy from Modeling (GJ)</t>
  </si>
  <si>
    <t>Annual COP</t>
  </si>
  <si>
    <t>Peak COP</t>
  </si>
  <si>
    <t>May</t>
  </si>
  <si>
    <t>June</t>
  </si>
  <si>
    <t>Load</t>
  </si>
  <si>
    <t>July</t>
  </si>
  <si>
    <t>Zone Space Heating (GJ)</t>
  </si>
  <si>
    <t>peak COP value is high since CO2 HP design have low demand but longer runtime with larger storage tanks</t>
  </si>
  <si>
    <t>August</t>
  </si>
  <si>
    <t>MUA Heating (GJ)</t>
  </si>
  <si>
    <t>September</t>
  </si>
  <si>
    <t>Domestic Hot Water (GJ)</t>
  </si>
  <si>
    <t>HP Adj. factor due to OAT lockout</t>
  </si>
  <si>
    <t>October</t>
  </si>
  <si>
    <t>November</t>
  </si>
  <si>
    <t>December</t>
  </si>
  <si>
    <t>Natural gas total</t>
  </si>
  <si>
    <t>Low Rise</t>
  </si>
  <si>
    <t>High Rise</t>
  </si>
  <si>
    <t>CZ</t>
  </si>
  <si>
    <t>CDD19.5</t>
  </si>
  <si>
    <t>Gas Heating from model (kWh/m2/yr)</t>
  </si>
  <si>
    <t>Heating Load, Zone and MUA (kWh/ft2)</t>
  </si>
  <si>
    <t>Heating Peak Demand (W/ft2)</t>
  </si>
  <si>
    <t>Zone Heating Peak Demand (W/ft2)</t>
  </si>
  <si>
    <t>Zone Cooling (kWh/m2/yr)</t>
  </si>
  <si>
    <t>Cooling Energy, Zone (kWh/ft2)</t>
  </si>
  <si>
    <t>Cooling Peak Demand (W/ft2)</t>
  </si>
  <si>
    <t>MUA Demand (W/ft2)</t>
  </si>
  <si>
    <t>Thermal Load (GJ)</t>
  </si>
  <si>
    <t>kWh/ft2</t>
  </si>
  <si>
    <t>Zone Space Heating</t>
  </si>
  <si>
    <t>MUA Heating</t>
  </si>
  <si>
    <t>kWh/suite</t>
  </si>
  <si>
    <t>7A</t>
  </si>
  <si>
    <t>7B</t>
  </si>
  <si>
    <t>Zone Space Cooling</t>
  </si>
  <si>
    <t>W/ft2</t>
  </si>
  <si>
    <t>Year</t>
  </si>
  <si>
    <t>Wall R value</t>
  </si>
  <si>
    <t>Roof R value</t>
  </si>
  <si>
    <t>Window Assembly R value</t>
  </si>
  <si>
    <t>kW per suite</t>
  </si>
  <si>
    <t>DHW Heating Demand</t>
  </si>
  <si>
    <t>from Ecotope modeling in Multifamily Load Shifting Report</t>
  </si>
  <si>
    <t>Breakdown</t>
  </si>
  <si>
    <t>Baseline</t>
  </si>
  <si>
    <t>Wall Heat Loss</t>
  </si>
  <si>
    <t>Retrofit</t>
  </si>
  <si>
    <t>Roof Heat Loss</t>
  </si>
  <si>
    <t>Window Heat Loss</t>
  </si>
  <si>
    <t>Total Heat Loss</t>
  </si>
  <si>
    <t>Existing / Baseline Variables</t>
  </si>
  <si>
    <t>Per Technology Energy and Demand Savings</t>
  </si>
  <si>
    <t>kWh</t>
  </si>
  <si>
    <t>kW</t>
  </si>
  <si>
    <t>Index</t>
  </si>
  <si>
    <t>Baseline Variables</t>
  </si>
  <si>
    <t>Baseline Values</t>
  </si>
  <si>
    <t>Retrofit Variables</t>
  </si>
  <si>
    <t>Retrofit Values</t>
  </si>
  <si>
    <t>Mech</t>
  </si>
  <si>
    <t>Refrig</t>
  </si>
  <si>
    <t>DHW-kWh</t>
  </si>
  <si>
    <t>DHW-kW</t>
  </si>
  <si>
    <t>DHW-GJ</t>
  </si>
  <si>
    <t>Env-kWH</t>
  </si>
  <si>
    <t>Env-kW</t>
  </si>
  <si>
    <t>Env-GJ</t>
  </si>
  <si>
    <t>HVAC-kWH</t>
  </si>
  <si>
    <t>HVAC-kW</t>
  </si>
  <si>
    <t>HVAC-GJ</t>
  </si>
  <si>
    <t>CK-kWH</t>
  </si>
  <si>
    <t>CK-kW</t>
  </si>
  <si>
    <t>CK-GJ</t>
  </si>
  <si>
    <t>Mech-kWh</t>
  </si>
  <si>
    <t>Mech-kW</t>
  </si>
  <si>
    <t>Mech-GJ</t>
  </si>
  <si>
    <t>Refg-kWh</t>
  </si>
  <si>
    <t>Refg-kW</t>
  </si>
  <si>
    <t>Refg-GJ</t>
  </si>
  <si>
    <t>Peak Demand Savings, kW</t>
  </si>
  <si>
    <t>Nat. Gas Savings, GJ/yr</t>
  </si>
  <si>
    <t>Est. Energy Cost Savings, $</t>
  </si>
  <si>
    <t>GHG Reduction, tCO2e/yr</t>
  </si>
  <si>
    <t>Total Capital Cost, $</t>
  </si>
  <si>
    <t xml:space="preserve">Food Preparation </t>
  </si>
  <si>
    <t>Efficient  door type dishwashing</t>
  </si>
  <si>
    <t xml:space="preserve">LCE - Food Preparation </t>
  </si>
  <si>
    <t>Electrify Food Preparation Equipment</t>
  </si>
  <si>
    <t>Domestic  Hot Water</t>
  </si>
  <si>
    <t>Heat Pump Hot Water Heater</t>
  </si>
  <si>
    <t xml:space="preserve">LCE - Domestic Hot Water </t>
  </si>
  <si>
    <t>Air-to-Water CO2 Heat Pump Water Heater</t>
  </si>
  <si>
    <t>Building Envelope</t>
  </si>
  <si>
    <t>High Efficiency Glazing</t>
  </si>
  <si>
    <t>Programmable/ Smart Thermostat</t>
  </si>
  <si>
    <t>LCE - HVAC</t>
  </si>
  <si>
    <t>Rooftop Air-to-Air Heat Pump Make Up Air Unit with Electric Backup</t>
  </si>
  <si>
    <t>Rooftop Air-to-Air Heat Pump Make Up Air Unit with Gas Backup</t>
  </si>
  <si>
    <t xml:space="preserve">Adjustable Speed Drive with a programmed set point or controlled by a feedback signal from a process variable (not operator adjustable) </t>
  </si>
  <si>
    <t>Induction motor ≤ 50 hp, Efficiency increase beyond Premium</t>
  </si>
  <si>
    <t>Concatenate</t>
  </si>
  <si>
    <t>per linear ft display</t>
  </si>
  <si>
    <t>Energy Savings (kWh)</t>
  </si>
  <si>
    <t>Energy Increase (kWh)</t>
  </si>
  <si>
    <t>Natural Gas Displaced (GJ)</t>
  </si>
  <si>
    <t>Annual Peak Demand Increase (kW)</t>
  </si>
  <si>
    <t>GHG Reduction (Tonne CO2e/yr)</t>
  </si>
  <si>
    <t>Reviewed Demand Savings (kW)</t>
  </si>
  <si>
    <t>Total Incentives ($)</t>
  </si>
  <si>
    <t>xRM Measure</t>
  </si>
  <si>
    <t>End-Use</t>
  </si>
  <si>
    <t>End-use</t>
  </si>
  <si>
    <t>List of Indentifier, yellow reserved for lighting (100), green reserved for non-lighting (40)</t>
  </si>
  <si>
    <t>Company Name</t>
  </si>
  <si>
    <t>Site Name / ID</t>
  </si>
  <si>
    <t>kWh/yr</t>
  </si>
  <si>
    <t>Applicant's declaration</t>
  </si>
  <si>
    <t xml:space="preserve">Legal Name of Applicant: </t>
  </si>
  <si>
    <t xml:space="preserve">Authorized signature: </t>
  </si>
  <si>
    <t xml:space="preserve">Job Title: </t>
  </si>
  <si>
    <r>
      <t xml:space="preserve">Name </t>
    </r>
    <r>
      <rPr>
        <i/>
        <sz val="10"/>
        <color theme="1"/>
        <rFont val="Arial"/>
        <family val="2"/>
      </rPr>
      <t>(please print)</t>
    </r>
    <r>
      <rPr>
        <sz val="10"/>
        <color theme="1"/>
        <rFont val="Arial"/>
        <family val="2"/>
      </rPr>
      <t xml:space="preserve">: </t>
    </r>
  </si>
  <si>
    <t xml:space="preserve">Date: </t>
  </si>
  <si>
    <t>Site Inspection Contact:</t>
  </si>
  <si>
    <t xml:space="preserve">Phone #: </t>
  </si>
  <si>
    <r>
      <t>I, the undersigned, declare that the information contained in this declaration and</t>
    </r>
    <r>
      <rPr>
        <sz val="10"/>
        <rFont val="Arial"/>
        <family val="2"/>
      </rPr>
      <t xml:space="preserve"> the attached Invoice Reconciliation Template</t>
    </r>
    <r>
      <rPr>
        <sz val="10"/>
        <color theme="1"/>
        <rFont val="Arial"/>
        <family val="2"/>
      </rPr>
      <t xml:space="preserve"> is accurate and complete and all invoices pertaining to this Project have been paid in full and all applicable permits pertaining to the Project are in place.</t>
    </r>
  </si>
  <si>
    <t>All submitted invoices must show each product’s manufacturer, full part number, quantity and overall cost</t>
  </si>
  <si>
    <t>PLEASE NOTE THAT SUBMISSION OF PROJECT INVOICES IS REQUIRED</t>
  </si>
  <si>
    <t>If total completed project cost is less than total expected project cost, please check that all invoices are accounted for as part of this Schedule C submission with no additional invoices to be submitted.</t>
  </si>
  <si>
    <t>Total estimated project cost (excluding tax)</t>
  </si>
  <si>
    <t>Total actual project cost (excluding tax)</t>
  </si>
  <si>
    <t>Project cost summary</t>
  </si>
  <si>
    <t>Project information</t>
  </si>
  <si>
    <t>Energy Management Solutions</t>
  </si>
  <si>
    <t>Tonne CO2e/yr</t>
  </si>
  <si>
    <t>Measure Types:</t>
  </si>
  <si>
    <t xml:space="preserve"> - Energy Efficiency (EE)</t>
  </si>
  <si>
    <t xml:space="preserve"> - Low Carbon Electrification (LCE)</t>
  </si>
  <si>
    <t>Type-Category</t>
  </si>
  <si>
    <t>Phase</t>
  </si>
  <si>
    <t>$</t>
  </si>
  <si>
    <t>Lighting</t>
  </si>
  <si>
    <t>$ / year</t>
  </si>
  <si>
    <t>kWh / year</t>
  </si>
  <si>
    <t>Years</t>
  </si>
  <si>
    <t>Peak savings only come from Lighting measures; either prescribed or custom</t>
  </si>
  <si>
    <t>Persistence is by ECM, not able to be grouped</t>
  </si>
  <si>
    <t>Capital cost</t>
  </si>
  <si>
    <t>Put xRM rebate column</t>
  </si>
  <si>
    <t>Reporting fields to be added when copy made</t>
  </si>
  <si>
    <t>Estimated Cost Savings ($)</t>
  </si>
  <si>
    <t>BC Hydro
(Peak kW)</t>
  </si>
  <si>
    <t>Incented Savings</t>
  </si>
  <si>
    <t>Avg Measure persistence</t>
  </si>
  <si>
    <t>Energy Management Solutions Project Information</t>
  </si>
  <si>
    <t>Implementation Contractor(s)</t>
  </si>
  <si>
    <t>Total Site Impact</t>
  </si>
  <si>
    <t>Cost ($)</t>
  </si>
  <si>
    <t>Total Cost Savings</t>
  </si>
  <si>
    <t>Demand Savings
(kW)</t>
  </si>
  <si>
    <t>Demand Increase
(kW)</t>
  </si>
  <si>
    <t>GHG Reduction
(tCO2e/yr)</t>
  </si>
  <si>
    <t>Tonnes of CO2e/yr.</t>
  </si>
  <si>
    <t>Energy Efficiency</t>
  </si>
  <si>
    <t>Low Carbon Electrification</t>
  </si>
  <si>
    <t>EE - Lighting</t>
  </si>
  <si>
    <t>EE - Non-Lighting</t>
  </si>
  <si>
    <t>LCE - Non-Lighting</t>
  </si>
  <si>
    <t>Total Potentially Incentable (kWh)</t>
  </si>
  <si>
    <t xml:space="preserve">Not 
Installed </t>
  </si>
  <si>
    <t>Total Load Increase from Electrification</t>
  </si>
  <si>
    <t>Total Electrical Savings from Energy Efficiency</t>
  </si>
  <si>
    <t>Total GHG Reductions from Electrification</t>
  </si>
  <si>
    <t>Project Name</t>
  </si>
  <si>
    <t>Site Information</t>
  </si>
  <si>
    <t xml:space="preserve">BCH Number: </t>
  </si>
  <si>
    <t>Implemented
 as
 Anticipated</t>
  </si>
  <si>
    <t>HIDE BELOW HERE</t>
  </si>
  <si>
    <t>BC Hydro Incentives</t>
  </si>
  <si>
    <t>per tonne CO2 (over measure life)</t>
  </si>
  <si>
    <t>Implemented But Not as Anticipated (*)</t>
  </si>
  <si>
    <r>
      <t xml:space="preserve">Project Implementation Date </t>
    </r>
    <r>
      <rPr>
        <sz val="8"/>
        <color theme="1"/>
        <rFont val="Arial"/>
        <family val="2"/>
      </rPr>
      <t>(refers to date when the project is installed, commissioned and fully operational)</t>
    </r>
  </si>
  <si>
    <t>Quantity</t>
  </si>
  <si>
    <t>Area (ft2)</t>
  </si>
  <si>
    <t>Capacity (tons)</t>
  </si>
  <si>
    <t xml:space="preserve">motor HP </t>
  </si>
  <si>
    <t>Linear foot of display case</t>
  </si>
  <si>
    <t>Tonne CO2 (over measure life)</t>
  </si>
  <si>
    <t>Schedule B</t>
  </si>
  <si>
    <t>Selected for Implementation</t>
  </si>
  <si>
    <t>Implement</t>
  </si>
  <si>
    <t>Baseline equipment energy source (or heating source for envelope measures)</t>
  </si>
  <si>
    <t>Incentive</t>
  </si>
  <si>
    <t>Energy Savings</t>
  </si>
  <si>
    <t>Demand Savings</t>
  </si>
  <si>
    <t>Cost Savings</t>
  </si>
  <si>
    <t>GHG Reduction</t>
  </si>
  <si>
    <t>Gas Savings</t>
  </si>
  <si>
    <t>*not required for study phase</t>
  </si>
  <si>
    <t>Firm Completing Workbook</t>
  </si>
  <si>
    <t>Total conditioned floor area including residential suites and common areas, excluding commercial spaces, parkade and storage (sq ft):</t>
  </si>
  <si>
    <t>GJ / year</t>
  </si>
  <si>
    <t>Electrical Savings
(kWh/yr)</t>
  </si>
  <si>
    <t>Electrical Increase
(kWh/yr)</t>
  </si>
  <si>
    <t>Total Lighting Project Cost:</t>
  </si>
  <si>
    <t>Hidden</t>
  </si>
  <si>
    <t>Thermal load from Model</t>
  </si>
  <si>
    <t>Thermal load from gas bills</t>
  </si>
  <si>
    <t>Incentive Metric</t>
  </si>
  <si>
    <t>Calc. Metric</t>
  </si>
  <si>
    <t>N/A</t>
  </si>
  <si>
    <t>per suite</t>
  </si>
  <si>
    <t>per roof area</t>
  </si>
  <si>
    <t>per wall area</t>
  </si>
  <si>
    <t>per window area</t>
  </si>
  <si>
    <t>per sqft served</t>
  </si>
  <si>
    <t>N/A, calc</t>
  </si>
  <si>
    <t>In suite Air Source Cold Climate HP (packaged or mini-split)</t>
  </si>
  <si>
    <t>In suite Air Source HP w/ supplemental elec (packaged or mini-split)</t>
  </si>
  <si>
    <t>Central Cold Climate HP (multi-split or VRF)</t>
  </si>
  <si>
    <t>Central Air Source HP w/ supplemental elec (multi-split or VRF)</t>
  </si>
  <si>
    <t>In suite Air Source HP w/ existing gas heating backup (packaged or mini-split)</t>
  </si>
  <si>
    <t>Central Air Source HP w/ existing gas heating backup (multi-split or VRF)</t>
  </si>
  <si>
    <t>Approximate Area per Suite ft2</t>
  </si>
  <si>
    <t>BC Hydro Energy Measure Selection</t>
  </si>
  <si>
    <t>HVAC-MUA</t>
  </si>
  <si>
    <t>COPh</t>
  </si>
  <si>
    <t>EER</t>
  </si>
  <si>
    <t>Average Monthly Peak Demand Increase(kW)</t>
  </si>
  <si>
    <t>Average Monthly Peak Demand Savings (kW)</t>
  </si>
  <si>
    <t>Approximate % of Total Wall/Roof Area Retrofitted</t>
  </si>
  <si>
    <t>Run Hours</t>
  </si>
  <si>
    <t>New Quantity</t>
  </si>
  <si>
    <t>kW per Unit</t>
  </si>
  <si>
    <t xml:space="preserve">kW per Unit </t>
  </si>
  <si>
    <t>Linear Foot of Case</t>
  </si>
  <si>
    <t>Total Installed Insulation Area (ft2)</t>
  </si>
  <si>
    <t>Energy Measure Selection</t>
  </si>
  <si>
    <t>Number of  sensors</t>
  </si>
  <si>
    <t>Baseline System</t>
  </si>
  <si>
    <t>Energy Measure</t>
  </si>
  <si>
    <t>Estimated Project Cost and Energy Impacts</t>
  </si>
  <si>
    <t>low rise window to wall ratio</t>
  </si>
  <si>
    <t>high rise window to wall ratio</t>
  </si>
  <si>
    <t>Hybrid systems or commercial gas?</t>
  </si>
  <si>
    <t>N</t>
  </si>
  <si>
    <t>Logic of energy breakdown</t>
  </si>
  <si>
    <t>Space Heating</t>
  </si>
  <si>
    <t xml:space="preserve">MUA </t>
  </si>
  <si>
    <t>Gas</t>
  </si>
  <si>
    <t>Approach</t>
  </si>
  <si>
    <t>Elec</t>
  </si>
  <si>
    <t xml:space="preserve">Gas </t>
  </si>
  <si>
    <t>all gas is attributed to MUA. Space heating is from CleanBC express model. DHW calculated based on usage per suite parameter</t>
  </si>
  <si>
    <t>All gas is attibuted to DHW. MUA usage calculated by ASHRAE 62.1 ventilation and HDD. Space heating is from cleanBC express model.</t>
  </si>
  <si>
    <t>Determine DHW to be the average of the two months with the least usage multiplied by 12,MUA usage is total gas subtracted by DHW. Space heating is from cleanBC express model.</t>
  </si>
  <si>
    <t>MUA and space heating from modeling, DHW from usage per suite.</t>
  </si>
  <si>
    <t>All gas is attributed to space heating.</t>
  </si>
  <si>
    <t>MUA usage calculated by ASHRAE 62.1 ventilation and HDD, space heating is total gas subtracted by MUA usage, DHW calculated based on usage per suite parameter.</t>
  </si>
  <si>
    <t>Determine DHW to be the average of the two months with the least usage multiplied by 12, MUA usage calculated by ASHRAE 62.1 ventilation and HDD, space heating determined by subtracting MUA and DHW usage from Total Gas.</t>
  </si>
  <si>
    <t>Integrated Controls Capable</t>
  </si>
  <si>
    <t>Fixture Integrated Occupancy/Daylight Harvesting Sensors?</t>
  </si>
  <si>
    <t>Stand Alone Ceiling/Wall Mounted Occupancy/Daylight Harvesting Sensors?</t>
  </si>
  <si>
    <t>Total number of common area spaces (amenities room, offices, fitness rooms, etc.)?</t>
  </si>
  <si>
    <t>Common Area Cold Climate HP (multi-split or VRF)</t>
  </si>
  <si>
    <t>Common Area Air Source HP w/ supplemental elec (multi-split or VRF)</t>
  </si>
  <si>
    <t>Common Area Air Source HP w/ existing gas heating backup (multi-split or VRF)</t>
  </si>
  <si>
    <t>Common Area Air Source Cold Climate HP (packaged or mini-split)</t>
  </si>
  <si>
    <t>Common Area Air Source HP w/ supplemental elec (packaged or mini-split)</t>
  </si>
  <si>
    <t>Number of Suites and/or Common Area Spaces Served</t>
  </si>
  <si>
    <t>Number of Suites or Common Area Spaces Served</t>
  </si>
  <si>
    <t>Common Area Air Source HP w/ existing gas heating backup (packaged or mini-split)</t>
  </si>
  <si>
    <t>Rooftop HP MUA Cold Climate</t>
  </si>
  <si>
    <t>1. Customer and project details</t>
  </si>
  <si>
    <t>Version</t>
  </si>
  <si>
    <t>Enter 1 if initial version</t>
  </si>
  <si>
    <t>Date:</t>
  </si>
  <si>
    <t>Company Legal Name:</t>
  </si>
  <si>
    <t>Site Name:</t>
  </si>
  <si>
    <t>Site Address:</t>
  </si>
  <si>
    <t>City:</t>
  </si>
  <si>
    <t xml:space="preserve">Contact Phone: </t>
  </si>
  <si>
    <t>2. Contractor/consultant details</t>
  </si>
  <si>
    <t>Company Address:</t>
  </si>
  <si>
    <t>Primary Contact:</t>
  </si>
  <si>
    <t>Contact Email:</t>
  </si>
  <si>
    <t>Electronic signature for the author of Electrical Load Analysis</t>
  </si>
  <si>
    <t>Submission details</t>
  </si>
  <si>
    <t>Are you aware of any prior energy studies that relate to the system under consideration?</t>
  </si>
  <si>
    <t/>
  </si>
  <si>
    <t>Have conversations with BC Hydro Interconnections already occurred?</t>
  </si>
  <si>
    <t>3. Existing system description</t>
  </si>
  <si>
    <t xml:space="preserve">Total floorspace Area: </t>
  </si>
  <si>
    <t>Measurement Units:</t>
  </si>
  <si>
    <t xml:space="preserve">Area to be studied: </t>
  </si>
  <si>
    <t>Total number of Resident Units</t>
  </si>
  <si>
    <t>Enter main switch details below</t>
  </si>
  <si>
    <t xml:space="preserve">Building type : </t>
  </si>
  <si>
    <t>Main Switch Capacity</t>
  </si>
  <si>
    <t>Main Switch Size</t>
  </si>
  <si>
    <t>Amps</t>
  </si>
  <si>
    <t>Spare Capacity before LCE</t>
  </si>
  <si>
    <t xml:space="preserve">Voltage  </t>
  </si>
  <si>
    <t>Volts</t>
  </si>
  <si>
    <t xml:space="preserve">Total Connected Load (if known) </t>
  </si>
  <si>
    <t xml:space="preserve">Phase </t>
  </si>
  <si>
    <t>Spare Capacity after LCE</t>
  </si>
  <si>
    <t>Annual electricity consumption for project's site</t>
  </si>
  <si>
    <t>Fill in the tables below using energy bills</t>
  </si>
  <si>
    <t>Units</t>
  </si>
  <si>
    <t>Elec Tariff rate</t>
  </si>
  <si>
    <t>rate</t>
  </si>
  <si>
    <t>Annual billed energy</t>
  </si>
  <si>
    <t>Annual peak demand</t>
  </si>
  <si>
    <t>Avg monthly peak demand</t>
  </si>
  <si>
    <t>Year for Energy Data</t>
  </si>
  <si>
    <t>Describe how the annual peak demand is determined</t>
  </si>
  <si>
    <t>If known, are there any future additional proposed loads excluding the LCE measures? If it is Yes, please describe what the load will be and the size (kW)</t>
  </si>
  <si>
    <t>Additional loads excluding the LCE measure</t>
  </si>
  <si>
    <t>Describe any potential issues of existing electrical system that may impact the LCE measures</t>
  </si>
  <si>
    <t>Describe whether the electrical system need to be upgraded to accommodate the LCE measures. If it is Yes, provide the scope of the work and the high level cost (+100%/ - 50%)</t>
  </si>
  <si>
    <t xml:space="preserve">High level project cost </t>
  </si>
  <si>
    <t>Describe any additional information or comments about the existing electrical system</t>
  </si>
  <si>
    <t>4. Electrification system project boundary</t>
  </si>
  <si>
    <t>Describe the existing system under consideration. (include equipment type, size, hours of operation, and other pertinent information)</t>
  </si>
  <si>
    <t xml:space="preserve">System Age (years): </t>
  </si>
  <si>
    <t>5. LCE opportunity identification</t>
  </si>
  <si>
    <t>End Uses</t>
  </si>
  <si>
    <t>Existing System Type</t>
  </si>
  <si>
    <t>Fuel Type</t>
  </si>
  <si>
    <t>Proposed Electrification Measure</t>
  </si>
  <si>
    <t>Net Incremental Electrical Annual Peak Demand (kW)</t>
  </si>
  <si>
    <t>Net Incremental Electrical Energy (kWh)</t>
  </si>
  <si>
    <t>Additional Comments</t>
  </si>
  <si>
    <t>GJ</t>
  </si>
  <si>
    <t>6. Project schedule, risk, and accuracy</t>
  </si>
  <si>
    <t>Describe the implementation schedule for the project and/or study</t>
  </si>
  <si>
    <t>Disclaimer:
- The information coming from this review is subject to change.  
- The customer to follow the interconnection process (Design or Major-D) to validate the actual capacity availability, scope and timeline to interconnect when the project is in the implementation stage 
- Until a customer submits their interconnection request form (ESI or MDL Form) and pays their deposit, capacity is not reserved.</t>
  </si>
  <si>
    <t>MURB Ph1</t>
  </si>
  <si>
    <t>MURB Ph2</t>
  </si>
  <si>
    <t>SH</t>
  </si>
  <si>
    <t>Y</t>
  </si>
  <si>
    <t>Y for all</t>
  </si>
  <si>
    <t>FOR PRESCRIPTIVE WORKBOOK USE</t>
  </si>
  <si>
    <t>MEASURES LIST</t>
  </si>
  <si>
    <t>not in previous programs</t>
  </si>
  <si>
    <t>Cost per Suite (1-50)</t>
  </si>
  <si>
    <t>Cost per Suite (150+)</t>
  </si>
  <si>
    <t>Cost per Suite (50-150)</t>
  </si>
  <si>
    <t>Cost Per Unit</t>
  </si>
  <si>
    <t>per HP</t>
  </si>
  <si>
    <t>from ABB price list NEMA12 208V25HP to 40HP, labour and markup 100% of material costs.</t>
  </si>
  <si>
    <t>from ABB price list NEMA12 208V 5HP to 20HP, labour and markup 100% of material costs.</t>
  </si>
  <si>
    <t>online average for wifi integrated smart tstat</t>
  </si>
  <si>
    <t>estimated costs for sensor ($800), relay ($200), electric material ($500), Labour ($1000)</t>
  </si>
  <si>
    <t>Feedback from Fresco</t>
  </si>
  <si>
    <t>Central HP water heater market research</t>
  </si>
  <si>
    <t>Referenced 2019 WSP condition assessment report and 2019 quantity surveyor report by Advicas, inflation adjusted</t>
  </si>
  <si>
    <t>Referenced 2019 quantity surveyor report by Advicas, inflation adjusted</t>
  </si>
  <si>
    <t>SHIP, CleanBC consultant reports</t>
  </si>
  <si>
    <t>CleanBC Express cost estimate with inflation adjustment</t>
  </si>
  <si>
    <t>Savings KWh/ft2</t>
  </si>
  <si>
    <t>Costing Notes</t>
  </si>
  <si>
    <t>per ft2</t>
  </si>
  <si>
    <t>Incentive Units</t>
  </si>
  <si>
    <t>2019 quantity surveyor report by Advicas, inflation adjusted, CleanBC consultant rule of thumb estimate</t>
  </si>
  <si>
    <t>per unit/suite</t>
  </si>
  <si>
    <t>Savings KWh per unit</t>
  </si>
  <si>
    <t>$ savings/unit</t>
  </si>
  <si>
    <t>SPB</t>
  </si>
  <si>
    <t>HDD21</t>
  </si>
  <si>
    <t>Estimated number of peak occupants</t>
  </si>
  <si>
    <t>per suite served</t>
  </si>
  <si>
    <t>per head</t>
  </si>
  <si>
    <t>no good costing information</t>
  </si>
  <si>
    <t>In suite Air Source Cold Climate HP (multi-split)</t>
  </si>
  <si>
    <t>Number of Suites Served</t>
  </si>
  <si>
    <t>HVAC-HP-Suite</t>
  </si>
  <si>
    <t>HVAC-HP-Heads</t>
  </si>
  <si>
    <t>New Number of Indoor Heads</t>
  </si>
  <si>
    <t>HVAC-HP-Tons</t>
  </si>
  <si>
    <t>Order</t>
  </si>
  <si>
    <t>LED PAR reflector lamp ≤ 12W</t>
  </si>
  <si>
    <t xml:space="preserve">LED PAR reflector lamp &gt; 12W ≤ 24W </t>
  </si>
  <si>
    <t>LED hardwired downlight ≤ 40W</t>
  </si>
  <si>
    <t>T-LED T5HO lamp ≤ 30W</t>
  </si>
  <si>
    <t>T-LED T8 lamp ≤ 13W</t>
  </si>
  <si>
    <t xml:space="preserve">T-LED T8 lamp &gt; 13W ≤ 22W </t>
  </si>
  <si>
    <t>LED troffer/surface luminaire or retrofit kit &gt; 40W ≤ 80W</t>
  </si>
  <si>
    <t>LED linear ambient luminaire &gt; 50W ≤ 100W</t>
  </si>
  <si>
    <t>LED area luminaire or retrofit kit ≤ 60W</t>
  </si>
  <si>
    <t>LED area luminaire or retrofit kit &gt; 60W ≤ 90W</t>
  </si>
  <si>
    <t>LED area luminaire or retrofit kit &gt; 90W ≤ 120W</t>
  </si>
  <si>
    <t>LED area luminaire or retrofit kit &gt; 120W ≤ 140W</t>
  </si>
  <si>
    <t>LED area luminaire or retrofit kit &gt; 140W ≤ 200W</t>
  </si>
  <si>
    <t>LED area luminaire or retrofit kit &gt; 200W ≤ 350W</t>
  </si>
  <si>
    <t>LED canopy luminaire or retrofit kit &gt; 120W ≤ 230W</t>
  </si>
  <si>
    <t>LED canopy luminaire or retrofit kit &gt; 230W ≤ 350W</t>
  </si>
  <si>
    <t>LED parking luminaire or retrofit kit ≤ 70W</t>
  </si>
  <si>
    <t>LED parking luminaire or retrofit kit &gt; 70W ≤ 140W</t>
  </si>
  <si>
    <t>Integrated Control Rebate</t>
  </si>
  <si>
    <t>Stand Alone Control Rebate</t>
  </si>
  <si>
    <t>HVAC-PTHP</t>
  </si>
  <si>
    <t>Total Heating Capacity (kBtu/hr)</t>
  </si>
  <si>
    <t>Total Cooling Capacity (Tons)</t>
  </si>
  <si>
    <t>Total Heating Capacity (kBtu/hr or MBH)</t>
  </si>
  <si>
    <t>Zone Space Cooling Demand (Elec Input)</t>
  </si>
  <si>
    <t>Zone Space Heating Demand (Thermal Load)</t>
  </si>
  <si>
    <t>MUA Heating Demand (Thermal Load)</t>
  </si>
  <si>
    <t>Electrical contractor/consultant details (Individual completing the ELA)</t>
  </si>
  <si>
    <t>Electrical Load Analysis</t>
  </si>
  <si>
    <t>Site fuel consumption quantity</t>
  </si>
  <si>
    <t>The Equipment Phase (Single or Three Phase)</t>
  </si>
  <si>
    <t>What are the recommended low-carbon electrification opportunities? Include only the recommended bundle of measures, this list should not include optional measures.</t>
  </si>
  <si>
    <t>Mechanical Project Totals</t>
  </si>
  <si>
    <t>Lighting Project Summary</t>
  </si>
  <si>
    <t>LED hardwired interior sconce ≤ 40W</t>
  </si>
  <si>
    <t>LED wall pack exterior luminaire or retrofit kit ≤ 40 W</t>
  </si>
  <si>
    <t>LED wall pack exterior luminaire or retrofit kit &gt; 40W ≤ 80W</t>
  </si>
  <si>
    <t>LED wall pack exterior luminaire or retrofit kit &gt; 80W ≤ 140W</t>
  </si>
  <si>
    <t>LED canopy luminaire or retrofit kit ≤ 120W</t>
  </si>
  <si>
    <t>LED low/high-bay luminaire or retrofit kit ≤ 90W</t>
  </si>
  <si>
    <t>LED low/high-bay luminaire or retrofit kit &gt; 90W ≤ 110W</t>
  </si>
  <si>
    <t>LED low/high-bay luminaire or retrofit kit &gt; 110W ≤ 200W</t>
  </si>
  <si>
    <t>LED low/high-bay luminaire or retrofit kit &gt; 200W ≤ 250W</t>
  </si>
  <si>
    <t>LED low/high-bay luminaire or retrofit kit &gt; 250W ≤ 350W</t>
  </si>
  <si>
    <t>per linear foot</t>
  </si>
  <si>
    <t>LED exterior signage</t>
  </si>
  <si>
    <t>Recreation</t>
  </si>
  <si>
    <t>Gym/Pool</t>
  </si>
  <si>
    <t>Only valid if selected for Implementation, column C</t>
  </si>
  <si>
    <t>How many rows for lighting?</t>
  </si>
  <si>
    <t>BC Hydro Lighting Rebate</t>
  </si>
  <si>
    <t>Incentive 
unit</t>
  </si>
  <si>
    <t>Rebate Category</t>
  </si>
  <si>
    <t>Rebate per luminaire, ($)</t>
  </si>
  <si>
    <t>Total Electrical Service Upgrade Costs:</t>
  </si>
  <si>
    <t>Total Rebate</t>
  </si>
  <si>
    <t>Simple Payback with Rebate</t>
  </si>
  <si>
    <t>Electrical Service Upgrade</t>
  </si>
  <si>
    <t>GHG reduction over measure life</t>
  </si>
  <si>
    <t>Tonnes of CO2e</t>
  </si>
  <si>
    <t>GHG Measure Life</t>
  </si>
  <si>
    <t>DHW load GJ per suite</t>
  </si>
  <si>
    <t>per HP ton</t>
  </si>
  <si>
    <t>BC Hydro rebate project summary and implementation date declaration</t>
  </si>
  <si>
    <t>Total Eligible Rebate</t>
  </si>
  <si>
    <t>Please review the list of Energy Measures on the next page(s) and check appropriately whether the measures were implemented as anticipated.</t>
  </si>
  <si>
    <t>* Any scope change, or installed equipment that is not the same as proposed could be considered "Implemented but not as anticipated".</t>
  </si>
  <si>
    <t>Expected Rebate Amount</t>
  </si>
  <si>
    <t>Energy Measures</t>
  </si>
  <si>
    <t>List of measures selected for implementation</t>
  </si>
  <si>
    <t>Stand Alone Lighting Controls</t>
  </si>
  <si>
    <t>Estimated total annual cost savings</t>
  </si>
  <si>
    <t>Capital Cost</t>
  </si>
  <si>
    <t>Total project demand savings</t>
  </si>
  <si>
    <t>Total project electrical savings</t>
  </si>
  <si>
    <t>Total project gas savings</t>
  </si>
  <si>
    <t>Annual GHG reduction</t>
  </si>
  <si>
    <t>Payback period with rebate (years)</t>
  </si>
  <si>
    <t>tCO2e</t>
  </si>
  <si>
    <t>Does the building's natural gas use include any commercial use?</t>
  </si>
  <si>
    <r>
      <t xml:space="preserve">7. Innovation &amp; Delivery Engineering Review Comments </t>
    </r>
    <r>
      <rPr>
        <b/>
        <sz val="12"/>
        <color rgb="FFFF0000"/>
        <rFont val="Arial"/>
        <family val="2"/>
      </rPr>
      <t>(BC Hydro Use Only)</t>
    </r>
  </si>
  <si>
    <t>Date (YYYY-MM-DD)</t>
  </si>
  <si>
    <t>normalizing factor, for ensuring model total does not exceed gas bills when building has commercial energy use</t>
  </si>
  <si>
    <t>heating load from lookup</t>
  </si>
  <si>
    <t>Building Energy Use Metrics, values in yellow are used for calculations</t>
  </si>
  <si>
    <t>Building Energy Data from CleanBC Express Model</t>
  </si>
  <si>
    <t>Fraction of HDD21 when OAT &lt; 3.3C (for MUA)</t>
  </si>
  <si>
    <t>Load Adj. relative to 2010</t>
  </si>
  <si>
    <t>Summer Design Temp</t>
  </si>
  <si>
    <t>Winter Design Temp</t>
  </si>
  <si>
    <t>Annual COP (PTHP)</t>
  </si>
  <si>
    <t>Peak COP (PTHP)</t>
  </si>
  <si>
    <t>Annual COP (ccASHP)</t>
  </si>
  <si>
    <t>CC peak COP (ccASHP)</t>
  </si>
  <si>
    <t>Envelope Area Estimations</t>
  </si>
  <si>
    <t>Selection Info on whether to use gas or model data</t>
  </si>
  <si>
    <t>Not used, peak demand driven by space htg</t>
  </si>
  <si>
    <t>If the buidling has commercial gas usage then space heating, MUA and DHW is determined from modeling. Normization factor is in place to ensure modelled space usage does not exceed natural gas.</t>
  </si>
  <si>
    <t>Cooling Electric Input (kWh)</t>
  </si>
  <si>
    <t>from cleanBC express model</t>
  </si>
  <si>
    <t>Space Heating Breakdown (GJ)</t>
  </si>
  <si>
    <t>Savings from Upgrading (kWh)</t>
  </si>
  <si>
    <t>Lookup results from COP table, based on climate zone</t>
  </si>
  <si>
    <r>
      <rPr>
        <b/>
        <u/>
        <sz val="11"/>
        <rFont val="Calibri"/>
        <family val="2"/>
      </rPr>
      <t>Version Tracking</t>
    </r>
  </si>
  <si>
    <r>
      <rPr>
        <sz val="10"/>
        <rFont val="Calibri"/>
        <family val="2"/>
      </rPr>
      <t>Version</t>
    </r>
  </si>
  <si>
    <r>
      <rPr>
        <sz val="10"/>
        <rFont val="Calibri"/>
        <family val="2"/>
      </rPr>
      <t>Date</t>
    </r>
  </si>
  <si>
    <r>
      <rPr>
        <sz val="10"/>
        <rFont val="Calibri"/>
        <family val="2"/>
      </rPr>
      <t>Revision Description</t>
    </r>
  </si>
  <si>
    <r>
      <rPr>
        <sz val="10"/>
        <rFont val="Calibri"/>
        <family val="2"/>
      </rPr>
      <t>Editor</t>
    </r>
  </si>
  <si>
    <r>
      <rPr>
        <i/>
        <sz val="11"/>
        <rFont val="Calibri"/>
        <family val="2"/>
      </rPr>
      <t>Vx.0x</t>
    </r>
  </si>
  <si>
    <r>
      <rPr>
        <i/>
        <sz val="11"/>
        <rFont val="Calibri"/>
        <family val="2"/>
      </rPr>
      <t>yyyy-mm-dd</t>
    </r>
  </si>
  <si>
    <r>
      <rPr>
        <i/>
        <sz val="11"/>
        <rFont val="Calibri"/>
        <family val="2"/>
      </rPr>
      <t>What changes were made</t>
    </r>
  </si>
  <si>
    <r>
      <rPr>
        <i/>
        <sz val="11"/>
        <rFont val="Calibri"/>
        <family val="2"/>
      </rPr>
      <t>Editor name</t>
    </r>
  </si>
  <si>
    <t>V1.0</t>
  </si>
  <si>
    <r>
      <rPr>
        <b/>
        <u/>
        <sz val="11"/>
        <rFont val="Calibri"/>
        <family val="2"/>
      </rPr>
      <t>Validation</t>
    </r>
  </si>
  <si>
    <r>
      <rPr>
        <u/>
        <sz val="10"/>
        <rFont val="Calibri"/>
        <family val="2"/>
      </rPr>
      <t>This tool has been validated in accordance with EGBC PPMP guidelines and BC Hydro validation procedures.</t>
    </r>
  </si>
  <si>
    <r>
      <t xml:space="preserve">Validation Checked and Reviewed
</t>
    </r>
    <r>
      <rPr>
        <sz val="10"/>
        <rFont val="Calibri"/>
        <family val="2"/>
      </rPr>
      <t>Salah Mahdi, P.Eng.</t>
    </r>
  </si>
  <si>
    <r>
      <t xml:space="preserve">Developer
</t>
    </r>
    <r>
      <rPr>
        <sz val="10"/>
        <rFont val="Calibri"/>
        <family val="2"/>
      </rPr>
      <t>Johnson Shen, P.Eng.</t>
    </r>
  </si>
  <si>
    <t>Johnson Shen</t>
  </si>
  <si>
    <r>
      <rPr>
        <u/>
        <sz val="10"/>
        <rFont val="Calibri"/>
        <family val="2"/>
      </rPr>
      <t>Author</t>
    </r>
    <r>
      <rPr>
        <sz val="10"/>
        <rFont val="Calibri"/>
        <family val="2"/>
      </rPr>
      <t xml:space="preserve">
Tommy Yim, P.Eng.</t>
    </r>
  </si>
  <si>
    <t>Electric Savings, kWh/yr</t>
  </si>
  <si>
    <t>Multi-Unit Residential Building Retrofit Program
Rebate Workbook</t>
  </si>
  <si>
    <t>Model</t>
  </si>
  <si>
    <t>NECB2015</t>
  </si>
  <si>
    <t>Building Envelope Performance (Effective R-value, without linear thermal bridging) based on Building Age</t>
  </si>
  <si>
    <t>ccASHP</t>
  </si>
  <si>
    <t>CO2HP DHW</t>
  </si>
  <si>
    <t>allinone DHW</t>
  </si>
  <si>
    <t>MUA_Low</t>
  </si>
  <si>
    <t>MUA_E</t>
  </si>
  <si>
    <t>Annual COP (MUA_Low)</t>
  </si>
  <si>
    <t>Peak COP (MUA_Low)</t>
  </si>
  <si>
    <t>Annual COP (MUA_E)</t>
  </si>
  <si>
    <t>Peak COP (MUA_E)</t>
  </si>
  <si>
    <t>COP Values for Technology (calculated on MURBRP COP Calculator)</t>
  </si>
  <si>
    <t>ccPTHP</t>
  </si>
  <si>
    <t>Cold climate packaged terminal heat pump or single packaged vertical heat pump</t>
  </si>
  <si>
    <t>High efficiency glazing</t>
  </si>
  <si>
    <t>Rooftop HP MUA with supplemental electric heating</t>
  </si>
  <si>
    <t>Low ambient rooftop HP MUA with electric preheat</t>
  </si>
  <si>
    <t>Variable speed drive for motors, &lt;20 HP</t>
  </si>
  <si>
    <t>Variable speed drive for motors, &gt;20 HP</t>
  </si>
  <si>
    <t>Parkade CO - HVAC controls</t>
  </si>
  <si>
    <t>capacity maintennace @ peak</t>
  </si>
  <si>
    <t>Central air source HP water heater, NEEA Tier 2 or 3</t>
  </si>
  <si>
    <t>In-suite all-in-one air source HP water heater with supplemental electricity</t>
  </si>
  <si>
    <t>Cold climate air source HP (mini-split)</t>
  </si>
  <si>
    <t>Cold climate air source HP (multi-split)</t>
  </si>
  <si>
    <t>Central cold climate air source HP (multi-split or VRF)</t>
  </si>
  <si>
    <r>
      <t xml:space="preserve">For </t>
    </r>
    <r>
      <rPr>
        <i/>
        <sz val="10"/>
        <color theme="1"/>
        <rFont val="Arial"/>
        <family val="2"/>
      </rPr>
      <t>all</t>
    </r>
    <r>
      <rPr>
        <sz val="10"/>
        <color theme="1"/>
        <rFont val="Arial"/>
        <family val="2"/>
      </rPr>
      <t xml:space="preserve"> measures, please </t>
    </r>
    <r>
      <rPr>
        <b/>
        <sz val="10"/>
        <color theme="1"/>
        <rFont val="Arial"/>
        <family val="2"/>
      </rPr>
      <t>submit</t>
    </r>
    <r>
      <rPr>
        <sz val="10"/>
        <color theme="1"/>
        <rFont val="Arial"/>
        <family val="2"/>
      </rPr>
      <t xml:space="preserve"> an updated BC Hydro MURBRP Rebate Workbook with the list of current measure(s) and quantities as implemented (attach separately)</t>
    </r>
  </si>
  <si>
    <t>Total Project Cost</t>
  </si>
  <si>
    <t>Gas breakdown</t>
  </si>
  <si>
    <t>Simple payback including rebates</t>
  </si>
  <si>
    <t>Measure Type (Energy Efficiency or Low Carbon Electrification)</t>
  </si>
  <si>
    <t>YYYY-MM-DD</t>
  </si>
  <si>
    <t>Year (YYYY)</t>
  </si>
  <si>
    <t>Are suites mechanically ventilated via a central make-up air unit (central unit serving multiple suites)?</t>
  </si>
  <si>
    <t>Occ/suite</t>
  </si>
  <si>
    <t>assuming 3.75 max. occupants for 675 sqft unit.</t>
  </si>
  <si>
    <t>per motor horsepower</t>
  </si>
  <si>
    <t>per ton HP capacity</t>
  </si>
  <si>
    <t>Electrical service upgrade cost</t>
  </si>
  <si>
    <t>Initial development of workbook for multi-unit resdiential building retrofit program phase 1 launch</t>
  </si>
  <si>
    <t>Load adj. factor (% of time below -15C)</t>
  </si>
  <si>
    <t>Notes</t>
  </si>
  <si>
    <t>iDemand Savings</t>
  </si>
  <si>
    <t>iBCH Demand</t>
  </si>
  <si>
    <t xml:space="preserve"> iHardwired Energy Savings</t>
  </si>
  <si>
    <t>iControls Energy Savings</t>
  </si>
  <si>
    <t>iControls Incentives</t>
  </si>
  <si>
    <t>iHardwired Incentives</t>
  </si>
  <si>
    <t>iNumber of Sensors</t>
  </si>
  <si>
    <t>LCE - Electrical service upgrade</t>
  </si>
  <si>
    <t>electrical service upgrade</t>
  </si>
  <si>
    <t>Estimated total rebate*</t>
  </si>
  <si>
    <t>Estimated Rebate ($)</t>
  </si>
  <si>
    <t>Rebate Breakdown</t>
  </si>
  <si>
    <t>not adjusted</t>
  </si>
  <si>
    <t>Adj. Factor</t>
  </si>
  <si>
    <t>Adjusted Rebate</t>
  </si>
  <si>
    <t>Normalization applied to lighting and mechanical measures to meet rebate cap.</t>
  </si>
  <si>
    <t>Please complete the following and submit along with Invoice Reconciliation and Implementation Support Documents for the approved Energy Management Solution(s) as described in Schedule B of the Rebate Agreement.</t>
  </si>
  <si>
    <t>**Rebate funding may be adjusted if the actual project cost is less than the estimate project cost.</t>
  </si>
  <si>
    <t>**</t>
  </si>
  <si>
    <t>* denotes required fields for all projects</t>
  </si>
  <si>
    <t xml:space="preserve">How many levels is your building? </t>
  </si>
  <si>
    <t>Quantity of luminaires or lamps</t>
  </si>
  <si>
    <t>Input / field setting wattage per new luminaire or lamp</t>
  </si>
  <si>
    <t>LED troffer/surface luminaire or retrofit kit ≤ 25W</t>
  </si>
  <si>
    <t>LED troffer/surface luminaire or retrofit kit &gt; 25W ≤ 40W</t>
  </si>
  <si>
    <t>LED linear ambient luminaire ≤ 25W</t>
  </si>
  <si>
    <t>LED linear ambient luminaire &gt;25W ≤ 50W</t>
  </si>
  <si>
    <t>Total project cost</t>
  </si>
  <si>
    <t>Is domestic hot water heated by electricity or natural gas?</t>
  </si>
  <si>
    <t>Is ventilation or make-up air heated by electricity or natural gas?</t>
  </si>
  <si>
    <t>Is the source heating for space heating by electricity or natural gas?</t>
  </si>
  <si>
    <t>* estimated rebate amount with rebate cap applied, subject to engineering review</t>
  </si>
  <si>
    <t>** denotes required fields for projects with mechanical measures (leave empty for lighting only projects)</t>
  </si>
  <si>
    <r>
      <t xml:space="preserve">Enter the buildings monthly natural gas consumption from the most recent 12 months, if your building utilizes natural gas. </t>
    </r>
    <r>
      <rPr>
        <b/>
        <sz val="10"/>
        <color rgb="FFFF0000"/>
        <rFont val="Arial"/>
        <family val="2"/>
      </rPr>
      <t>**</t>
    </r>
  </si>
  <si>
    <t>Energy Study Review</t>
  </si>
  <si>
    <t xml:space="preserve">Consultant to use this column to provide response to review comments </t>
  </si>
  <si>
    <t>Date</t>
  </si>
  <si>
    <t>day-month-year</t>
  </si>
  <si>
    <t>Comment #</t>
  </si>
  <si>
    <t>Sheet Name</t>
  </si>
  <si>
    <t>Cell Reference</t>
  </si>
  <si>
    <t>FIRST Review - by 
NAME
EMAIL
TEL</t>
  </si>
  <si>
    <r>
      <t xml:space="preserve">RESPONSE to </t>
    </r>
    <r>
      <rPr>
        <b/>
        <u/>
        <sz val="10"/>
        <color theme="0"/>
        <rFont val="Arial"/>
        <family val="2"/>
      </rPr>
      <t>First</t>
    </r>
    <r>
      <rPr>
        <b/>
        <sz val="10"/>
        <color theme="0"/>
        <rFont val="Arial"/>
        <family val="2"/>
      </rPr>
      <t xml:space="preserve"> Review - by 
NAME
EMAIL
TEL</t>
    </r>
  </si>
  <si>
    <t>v1.1</t>
  </si>
  <si>
    <t>Alvin Wai
Johnson Shen</t>
  </si>
  <si>
    <t>- added study review tab
- removed incremental cost, only uses capital cost
- updated the Userguide. I noticed that I could make edits even if the worksheet was locked. It’s because the userguide instructions are saved inside a giant text box. I’ve de-selected “Edit Objects” when you password protect that individual worksheet, and it solved the problem.
- In Project Info, Cristian asked me to change the wording “stories” to “levels” for row 14
- All the other changes I made were in the Lighting or LIndex worksheets.</t>
  </si>
  <si>
    <t>Space Htg</t>
  </si>
  <si>
    <t>Ventilation Htg</t>
  </si>
  <si>
    <t>Gas (GJ)</t>
  </si>
  <si>
    <t>Load (GJ)</t>
  </si>
  <si>
    <t>Elec (GJ)</t>
  </si>
  <si>
    <t>Other</t>
  </si>
  <si>
    <t>Estimated Building Energy Breakdown</t>
  </si>
  <si>
    <t>MURBRP Rebate Workbook - Version 1.2 - November 2024</t>
  </si>
  <si>
    <t># of Rough Openings</t>
  </si>
  <si>
    <t>per square feet or rough opening</t>
  </si>
  <si>
    <t>U-Value (W/m2·K)</t>
  </si>
  <si>
    <t>Glazing sqft</t>
  </si>
  <si>
    <t>Approximate % of Glazing Retrofitted</t>
  </si>
  <si>
    <t>Total Area of Glazing Installed (ft2)</t>
  </si>
  <si>
    <t>Manually enter Site Name / ID to reflect xRM</t>
  </si>
  <si>
    <t>v1.2</t>
  </si>
  <si>
    <t>- Correction for lighting controls kWh savings are calculated using our assumed database Wattage values, and not the user entered Wattage values.
- refine language to not allow supplemental gas per EMLI requirements.
- update glazing rebate requirements to cap with rougth opening criteria, updated user guide and schedule B.
- modify gas efficiency factor from 70% to 68%, as it appears the target demographic of MURB program would have aging equipment with poor efficiencies.</t>
  </si>
  <si>
    <t>T-LED T8 8ft lamps &gt; 22W ≤ 39W</t>
  </si>
  <si>
    <t>T-LED T8 8ft lamps &gt; 39W ≤ 75W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</si>
</sst>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0.0"/>
    <numFmt numFmtId="167" formatCode="0.000"/>
    <numFmt numFmtId="168" formatCode="0.000000"/>
    <numFmt numFmtId="169" formatCode="_(* #,##0_);_(* \(#,##0\);_(* &quot;-&quot;??_);_(@_)"/>
    <numFmt numFmtId="170" formatCode="_(&quot;$&quot;* #,##0_);_(&quot;$&quot;* \(#,##0\);_(&quot;$&quot;* &quot;-&quot;??_);_(@_)"/>
    <numFmt numFmtId="171" formatCode="[$-409]mmmm\ d\,\ yyyy;@"/>
    <numFmt numFmtId="172" formatCode="&quot;$&quot;#,##0.00"/>
    <numFmt numFmtId="173" formatCode="_(* #,##0.0_);_(* \(#,##0.0\);_(* &quot;-&quot;??_);_(@_)"/>
    <numFmt numFmtId="174" formatCode="General&quot;.&quot;"/>
    <numFmt numFmtId="175" formatCode="0;0;;@"/>
    <numFmt numFmtId="176" formatCode="0.00000"/>
    <numFmt numFmtId="177" formatCode="yyyy\-mm\-dd;@"/>
    <numFmt numFmtId="178" formatCode="0.00000000"/>
  </numFmts>
  <fonts count="98" x14ac:knownFonts="1">
    <font>
      <sz val="11"/>
      <color theme="1"/>
      <name val="Calibri"/>
      <family val="2"/>
      <scheme val="minor"/>
    </font>
    <font>
      <b/>
      <sz val="11"/>
      <color theme="1"/>
      <name val="Calibri"/>
      <family val="2"/>
      <scheme val="minor"/>
    </font>
    <font>
      <sz val="11"/>
      <name val="Arial"/>
      <family val="2"/>
    </font>
    <font>
      <sz val="11"/>
      <color theme="1"/>
      <name val="Arial"/>
      <family val="2"/>
    </font>
    <font>
      <sz val="11"/>
      <color theme="0"/>
      <name val="Arial"/>
      <family val="2"/>
    </font>
    <font>
      <i/>
      <sz val="12"/>
      <color theme="0"/>
      <name val="Arial"/>
      <family val="2"/>
    </font>
    <font>
      <i/>
      <sz val="11"/>
      <color theme="0"/>
      <name val="Arial"/>
      <family val="2"/>
    </font>
    <font>
      <i/>
      <sz val="11"/>
      <color theme="1"/>
      <name val="Arial"/>
      <family val="2"/>
    </font>
    <font>
      <i/>
      <sz val="9"/>
      <color theme="0"/>
      <name val="Arial"/>
      <family val="2"/>
    </font>
    <font>
      <sz val="8"/>
      <color theme="0"/>
      <name val="Arial"/>
      <family val="2"/>
    </font>
    <font>
      <sz val="11"/>
      <color theme="1"/>
      <name val="Calibri"/>
      <family val="2"/>
      <scheme val="minor"/>
    </font>
    <font>
      <b/>
      <sz val="9"/>
      <color indexed="48"/>
      <name val="Tahoma"/>
      <family val="2"/>
    </font>
    <font>
      <b/>
      <sz val="8"/>
      <color theme="1"/>
      <name val="Arial"/>
      <family val="2"/>
    </font>
    <font>
      <sz val="11"/>
      <color theme="0"/>
      <name val="Calibri"/>
      <family val="2"/>
      <scheme val="minor"/>
    </font>
    <font>
      <sz val="14"/>
      <color rgb="FF00B0F0"/>
      <name val="Calibri"/>
      <family val="2"/>
      <scheme val="minor"/>
    </font>
    <font>
      <sz val="11"/>
      <color theme="6" tint="-0.499984740745262"/>
      <name val="Calibri"/>
      <family val="2"/>
      <scheme val="minor"/>
    </font>
    <font>
      <sz val="11"/>
      <color rgb="FFFF0000"/>
      <name val="Arial"/>
      <family val="2"/>
    </font>
    <font>
      <sz val="11"/>
      <color rgb="FFFA4616"/>
      <name val="Calibri"/>
      <family val="2"/>
      <scheme val="minor"/>
    </font>
    <font>
      <b/>
      <sz val="11"/>
      <color rgb="FF7030A0"/>
      <name val="Calibri"/>
      <family val="2"/>
      <scheme val="minor"/>
    </font>
    <font>
      <sz val="10"/>
      <name val="Arial"/>
      <family val="2"/>
    </font>
    <font>
      <b/>
      <sz val="10"/>
      <color rgb="FFFF0000"/>
      <name val="Arial"/>
      <family val="2"/>
    </font>
    <font>
      <sz val="10"/>
      <color theme="1"/>
      <name val="Arial"/>
      <family val="2"/>
    </font>
    <font>
      <sz val="12"/>
      <color rgb="FF10A3C8"/>
      <name val="Arial Black"/>
      <family val="2"/>
    </font>
    <font>
      <sz val="11"/>
      <color rgb="FF000000"/>
      <name val="Calibri"/>
      <family val="2"/>
    </font>
    <font>
      <b/>
      <sz val="10"/>
      <color rgb="FF000000"/>
      <name val="Arial"/>
      <family val="2"/>
    </font>
    <font>
      <sz val="8"/>
      <color rgb="FF004F6C"/>
      <name val="Arial"/>
      <family val="2"/>
    </font>
    <font>
      <b/>
      <sz val="10"/>
      <color theme="1"/>
      <name val="Arial"/>
      <family val="2"/>
    </font>
    <font>
      <sz val="10"/>
      <name val="Arial Black"/>
      <family val="2"/>
    </font>
    <font>
      <sz val="9"/>
      <color theme="1"/>
      <name val="Arial"/>
      <family val="2"/>
    </font>
    <font>
      <b/>
      <sz val="10"/>
      <name val="Arial"/>
      <family val="2"/>
    </font>
    <font>
      <sz val="10"/>
      <color theme="0"/>
      <name val="Arial"/>
      <family val="2"/>
    </font>
    <font>
      <sz val="11"/>
      <color theme="7" tint="-0.499984740745262"/>
      <name val="Arial"/>
      <family val="2"/>
    </font>
    <font>
      <sz val="11"/>
      <color theme="9" tint="-0.249977111117893"/>
      <name val="Arial"/>
      <family val="2"/>
    </font>
    <font>
      <sz val="8"/>
      <color theme="0" tint="-4.9989318521683403E-2"/>
      <name val="Arial"/>
      <family val="2"/>
    </font>
    <font>
      <sz val="10"/>
      <color theme="0" tint="-4.9989318521683403E-2"/>
      <name val="Arial"/>
      <family val="2"/>
    </font>
    <font>
      <b/>
      <i/>
      <sz val="10"/>
      <name val="Times New Roman"/>
      <family val="1"/>
    </font>
    <font>
      <sz val="8"/>
      <color theme="1"/>
      <name val="Arial"/>
      <family val="2"/>
    </font>
    <font>
      <sz val="12"/>
      <name val="Arial Black"/>
      <family val="2"/>
    </font>
    <font>
      <b/>
      <sz val="12"/>
      <color theme="0"/>
      <name val="Arial"/>
      <family val="2"/>
    </font>
    <font>
      <i/>
      <sz val="10"/>
      <color rgb="FFFF0000"/>
      <name val="Arial"/>
      <family val="2"/>
    </font>
    <font>
      <i/>
      <sz val="10"/>
      <color theme="1"/>
      <name val="Arial"/>
      <family val="2"/>
    </font>
    <font>
      <b/>
      <sz val="14"/>
      <color theme="1"/>
      <name val="Arial"/>
      <family val="2"/>
    </font>
    <font>
      <sz val="10"/>
      <color theme="1"/>
      <name val="Calibri"/>
      <family val="2"/>
    </font>
    <font>
      <i/>
      <sz val="8"/>
      <color theme="6" tint="-0.499984740745262"/>
      <name val="Arial"/>
      <family val="2"/>
    </font>
    <font>
      <b/>
      <sz val="12"/>
      <color rgb="FF000099"/>
      <name val="Arial"/>
      <family val="2"/>
    </font>
    <font>
      <sz val="10"/>
      <color theme="5" tint="-0.249977111117893"/>
      <name val="Arial"/>
      <family val="2"/>
    </font>
    <font>
      <i/>
      <sz val="9"/>
      <name val="Arial"/>
      <family val="2"/>
    </font>
    <font>
      <i/>
      <sz val="10"/>
      <name val="Arial"/>
      <family val="2"/>
    </font>
    <font>
      <b/>
      <i/>
      <sz val="9"/>
      <color theme="1"/>
      <name val="Arial"/>
      <family val="2"/>
    </font>
    <font>
      <b/>
      <sz val="12"/>
      <color theme="1"/>
      <name val="Arial"/>
      <family val="2"/>
    </font>
    <font>
      <b/>
      <i/>
      <sz val="8"/>
      <color theme="1"/>
      <name val="Arial"/>
      <family val="2"/>
    </font>
    <font>
      <sz val="8"/>
      <color rgb="FF000000"/>
      <name val="Tahoma"/>
      <family val="2"/>
    </font>
    <font>
      <b/>
      <sz val="11"/>
      <color theme="1"/>
      <name val="Arial"/>
      <family val="2"/>
    </font>
    <font>
      <b/>
      <sz val="10"/>
      <color rgb="FF000099"/>
      <name val="Arial"/>
      <family val="2"/>
    </font>
    <font>
      <b/>
      <sz val="11"/>
      <color theme="0"/>
      <name val="Arial"/>
      <family val="2"/>
    </font>
    <font>
      <i/>
      <sz val="16"/>
      <color theme="1"/>
      <name val="Arial"/>
      <family val="2"/>
    </font>
    <font>
      <b/>
      <sz val="18"/>
      <color rgb="FF10A3C8"/>
      <name val="Arial Black"/>
      <family val="2"/>
    </font>
    <font>
      <b/>
      <sz val="24"/>
      <color theme="1"/>
      <name val="Arial"/>
      <family val="2"/>
    </font>
    <font>
      <sz val="12"/>
      <name val="Arial"/>
      <family val="2"/>
    </font>
    <font>
      <sz val="12"/>
      <color theme="1"/>
      <name val="Arial"/>
      <family val="2"/>
    </font>
    <font>
      <b/>
      <sz val="20"/>
      <name val="Arial"/>
      <family val="2"/>
    </font>
    <font>
      <sz val="12"/>
      <color rgb="FF004F6C"/>
      <name val="Arial"/>
      <family val="2"/>
    </font>
    <font>
      <i/>
      <sz val="9"/>
      <color theme="1"/>
      <name val="Arial"/>
      <family val="2"/>
    </font>
    <font>
      <sz val="9"/>
      <color rgb="FFFF0000"/>
      <name val="Arial"/>
      <family val="2"/>
    </font>
    <font>
      <sz val="11"/>
      <color rgb="FFFF0000"/>
      <name val="Calibri"/>
      <family val="2"/>
      <scheme val="minor"/>
    </font>
    <font>
      <sz val="8"/>
      <name val="Calibri"/>
      <family val="2"/>
      <scheme val="minor"/>
    </font>
    <font>
      <b/>
      <sz val="20"/>
      <color theme="1"/>
      <name val="Arial"/>
      <family val="2"/>
    </font>
    <font>
      <sz val="10"/>
      <color rgb="FFFF0000"/>
      <name val="Arial"/>
      <family val="2"/>
    </font>
    <font>
      <i/>
      <sz val="10"/>
      <color theme="0" tint="-0.499984740745262"/>
      <name val="Arial"/>
      <family val="2"/>
    </font>
    <font>
      <u/>
      <sz val="10"/>
      <color theme="10"/>
      <name val="Arial"/>
      <family val="2"/>
    </font>
    <font>
      <b/>
      <sz val="12"/>
      <name val="Arial"/>
      <family val="2"/>
    </font>
    <font>
      <i/>
      <sz val="10"/>
      <color rgb="FF00B050"/>
      <name val="Arial"/>
      <family val="2"/>
    </font>
    <font>
      <b/>
      <i/>
      <sz val="10"/>
      <color theme="1"/>
      <name val="Arial"/>
      <family val="2"/>
    </font>
    <font>
      <b/>
      <sz val="8"/>
      <color rgb="FF10A3C8"/>
      <name val="Arial"/>
      <family val="2"/>
    </font>
    <font>
      <b/>
      <sz val="12"/>
      <color rgb="FFFF0000"/>
      <name val="Arial"/>
      <family val="2"/>
    </font>
    <font>
      <sz val="11"/>
      <color rgb="FF10A3CB"/>
      <name val="Arial"/>
      <family val="2"/>
    </font>
    <font>
      <b/>
      <sz val="12"/>
      <color rgb="FF10A3CB"/>
      <name val="Arial"/>
      <family val="2"/>
    </font>
    <font>
      <b/>
      <sz val="10"/>
      <color theme="0"/>
      <name val="Arial"/>
      <family val="2"/>
    </font>
    <font>
      <sz val="9"/>
      <color indexed="81"/>
      <name val="Tahoma"/>
      <family val="2"/>
    </font>
    <font>
      <b/>
      <i/>
      <sz val="11"/>
      <color theme="0"/>
      <name val="Arial"/>
      <family val="2"/>
    </font>
    <font>
      <b/>
      <sz val="18"/>
      <color rgb="FF10A3C8"/>
      <name val="Arial"/>
      <family val="2"/>
    </font>
    <font>
      <sz val="12"/>
      <color rgb="FF10A3C8"/>
      <name val="Arial"/>
      <family val="2"/>
    </font>
    <font>
      <sz val="12"/>
      <color theme="0"/>
      <name val="Arial"/>
      <family val="2"/>
    </font>
    <font>
      <i/>
      <sz val="14"/>
      <color theme="1"/>
      <name val="Arial"/>
      <family val="2"/>
    </font>
    <font>
      <b/>
      <sz val="12"/>
      <color rgb="FF10A3C8"/>
      <name val="Arial"/>
      <family val="2"/>
    </font>
    <font>
      <sz val="10"/>
      <color rgb="FF000000"/>
      <name val="Times New Roman"/>
      <family val="1"/>
    </font>
    <font>
      <b/>
      <sz val="11"/>
      <name val="Calibri"/>
      <family val="2"/>
    </font>
    <font>
      <b/>
      <u/>
      <sz val="11"/>
      <name val="Calibri"/>
      <family val="2"/>
    </font>
    <font>
      <sz val="10"/>
      <name val="Calibri"/>
      <family val="2"/>
    </font>
    <font>
      <i/>
      <sz val="11"/>
      <name val="Calibri"/>
      <family val="2"/>
    </font>
    <font>
      <sz val="10"/>
      <color rgb="FF000000"/>
      <name val="Calibri"/>
      <family val="2"/>
    </font>
    <font>
      <u/>
      <sz val="10"/>
      <name val="Calibri"/>
      <family val="2"/>
    </font>
    <font>
      <b/>
      <sz val="9"/>
      <color indexed="81"/>
      <name val="Tahoma"/>
      <family val="2"/>
    </font>
    <font>
      <sz val="11"/>
      <name val="Calibri"/>
      <family val="2"/>
      <scheme val="minor"/>
    </font>
    <font>
      <sz val="10"/>
      <name val="Times New Roman"/>
      <family val="1"/>
    </font>
    <font>
      <b/>
      <u/>
      <sz val="10"/>
      <color theme="0"/>
      <name val="Arial"/>
      <family val="2"/>
    </font>
    <font>
      <u/>
      <sz val="10"/>
      <color theme="10"/>
      <name val="Times New Roman"/>
      <family val="1"/>
    </font>
    <font>
      <sz val="10"/>
      <color rgb="FF046A38"/>
      <name val="Arial"/>
      <family val="2"/>
    </font>
  </fonts>
  <fills count="38">
    <fill>
      <patternFill patternType="none"/>
    </fill>
    <fill>
      <patternFill patternType="gray125"/>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rgb="FF004F6C"/>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rgb="FF046A38"/>
        <bgColor indexed="64"/>
      </patternFill>
    </fill>
    <fill>
      <patternFill patternType="solid">
        <fgColor rgb="FF92D050"/>
        <bgColor indexed="64"/>
      </patternFill>
    </fill>
    <fill>
      <patternFill patternType="solid">
        <fgColor theme="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E6FEF2"/>
        <bgColor indexed="64"/>
      </patternFill>
    </fill>
    <fill>
      <patternFill patternType="solid">
        <fgColor indexed="9"/>
        <bgColor indexed="64"/>
      </patternFill>
    </fill>
    <fill>
      <patternFill patternType="solid">
        <fgColor theme="0" tint="-4.9989318521683403E-2"/>
        <bgColor indexed="64"/>
      </patternFill>
    </fill>
    <fill>
      <patternFill patternType="solid">
        <fgColor rgb="FFD5D5D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rgb="FFFFFFC5"/>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rgb="FFE5F4FF"/>
        <bgColor indexed="64"/>
      </patternFill>
    </fill>
    <fill>
      <patternFill patternType="solid">
        <fgColor theme="0"/>
        <bgColor theme="0" tint="-0.14999847407452621"/>
      </patternFill>
    </fill>
    <fill>
      <patternFill patternType="solid">
        <fgColor rgb="FF10A3C8"/>
        <bgColor indexed="64"/>
      </patternFill>
    </fill>
    <fill>
      <patternFill patternType="solid">
        <fgColor rgb="FFDCF6FC"/>
        <bgColor indexed="64"/>
      </patternFill>
    </fill>
    <fill>
      <patternFill patternType="solid">
        <fgColor rgb="FFECFEF5"/>
        <bgColor indexed="64"/>
      </patternFill>
    </fill>
    <fill>
      <patternFill patternType="solid">
        <fgColor rgb="FF9ADBE8"/>
        <bgColor indexed="64"/>
      </patternFill>
    </fill>
    <fill>
      <patternFill patternType="solid">
        <fgColor theme="0" tint="-0.14999847407452621"/>
        <bgColor indexed="64"/>
      </patternFill>
    </fill>
    <fill>
      <patternFill patternType="solid">
        <fgColor rgb="FF00B0F0"/>
        <bgColor indexed="64"/>
      </patternFill>
    </fill>
    <fill>
      <patternFill patternType="solid">
        <fgColor rgb="FF10A3CB"/>
        <bgColor indexed="64"/>
      </patternFill>
    </fill>
    <fill>
      <patternFill patternType="solid">
        <fgColor theme="4" tint="-0.499984740745262"/>
        <bgColor indexed="64"/>
      </patternFill>
    </fill>
    <fill>
      <patternFill patternType="solid">
        <fgColor rgb="FF002060"/>
        <bgColor indexed="64"/>
      </patternFill>
    </fill>
    <fill>
      <patternFill patternType="solid">
        <fgColor theme="6" tint="0.39997558519241921"/>
        <bgColor indexed="64"/>
      </patternFill>
    </fill>
    <fill>
      <patternFill patternType="solid">
        <fgColor theme="0" tint="-0.499984740745262"/>
        <bgColor indexed="64"/>
      </patternFill>
    </fill>
  </fills>
  <borders count="10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bottom/>
      <diagonal/>
    </border>
    <border>
      <left style="thin">
        <color rgb="FF10A3CB"/>
      </left>
      <right style="thin">
        <color rgb="FF10A3CB"/>
      </right>
      <top style="thin">
        <color rgb="FF10A3CB"/>
      </top>
      <bottom style="thin">
        <color rgb="FF10A3CB"/>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style="thin">
        <color rgb="FF10A3CB"/>
      </left>
      <right style="thin">
        <color rgb="FF10A3CB"/>
      </right>
      <top style="thin">
        <color rgb="FF10A3CB"/>
      </top>
      <bottom/>
      <diagonal/>
    </border>
    <border>
      <left style="thin">
        <color rgb="FF10A3C8"/>
      </left>
      <right style="thin">
        <color rgb="FF10A3C8"/>
      </right>
      <top style="thin">
        <color rgb="FF10A3C8"/>
      </top>
      <bottom style="thin">
        <color rgb="FF10A3C8"/>
      </bottom>
      <diagonal/>
    </border>
    <border>
      <left style="thin">
        <color rgb="FF10A3CB"/>
      </left>
      <right style="thin">
        <color indexed="64"/>
      </right>
      <top style="thin">
        <color rgb="FF10A3CB"/>
      </top>
      <bottom style="thin">
        <color rgb="FF10A3CB"/>
      </bottom>
      <diagonal/>
    </border>
    <border>
      <left style="thin">
        <color indexed="64"/>
      </left>
      <right style="thin">
        <color rgb="FF10A3CB"/>
      </right>
      <top style="thin">
        <color rgb="FF10A3CB"/>
      </top>
      <bottom style="thin">
        <color rgb="FF10A3CB"/>
      </bottom>
      <diagonal/>
    </border>
    <border>
      <left style="thin">
        <color rgb="FF10A3CB"/>
      </left>
      <right style="thin">
        <color rgb="FF10A3CB"/>
      </right>
      <top/>
      <bottom style="thin">
        <color rgb="FF10A3CB"/>
      </bottom>
      <diagonal/>
    </border>
    <border>
      <left style="thin">
        <color rgb="FF10A3CB"/>
      </left>
      <right/>
      <top style="thin">
        <color rgb="FF10A3CB"/>
      </top>
      <bottom style="thin">
        <color rgb="FF10A3CB"/>
      </bottom>
      <diagonal/>
    </border>
    <border>
      <left/>
      <right/>
      <top style="thin">
        <color rgb="FF10A3CB"/>
      </top>
      <bottom style="thin">
        <color rgb="FF10A3CB"/>
      </bottom>
      <diagonal/>
    </border>
    <border>
      <left/>
      <right style="thin">
        <color rgb="FF10A3CB"/>
      </right>
      <top style="thin">
        <color rgb="FF10A3CB"/>
      </top>
      <bottom style="thin">
        <color rgb="FF10A3CB"/>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medium">
        <color indexed="64"/>
      </top>
      <bottom/>
      <diagonal/>
    </border>
    <border>
      <left/>
      <right style="thin">
        <color theme="0"/>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theme="0" tint="-4.9989318521683403E-2"/>
      </left>
      <right style="medium">
        <color indexed="64"/>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medium">
        <color indexed="64"/>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indexed="64"/>
      </bottom>
      <diagonal/>
    </border>
    <border>
      <left style="thin">
        <color theme="0" tint="-4.9989318521683403E-2"/>
      </left>
      <right style="thin">
        <color indexed="64"/>
      </right>
      <top style="thin">
        <color theme="0" tint="-4.9989318521683403E-2"/>
      </top>
      <bottom style="medium">
        <color indexed="64"/>
      </bottom>
      <diagonal/>
    </border>
    <border>
      <left/>
      <right style="thin">
        <color theme="0"/>
      </right>
      <top style="thin">
        <color theme="0"/>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theme="0" tint="-4.9989318521683403E-2"/>
      </left>
      <right style="medium">
        <color indexed="64"/>
      </right>
      <top style="thin">
        <color theme="0" tint="-4.9989318521683403E-2"/>
      </top>
      <bottom style="medium">
        <color indexed="64"/>
      </bottom>
      <diagonal/>
    </border>
    <border>
      <left/>
      <right/>
      <top/>
      <bottom style="medium">
        <color indexed="64"/>
      </bottom>
      <diagonal/>
    </border>
    <border>
      <left/>
      <right/>
      <top style="thin">
        <color theme="1"/>
      </top>
      <bottom/>
      <diagonal/>
    </border>
    <border>
      <left style="thin">
        <color indexed="64"/>
      </left>
      <right/>
      <top style="thin">
        <color theme="1"/>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4F6C"/>
      </left>
      <right/>
      <top style="thin">
        <color rgb="FF004F6C"/>
      </top>
      <bottom style="thin">
        <color rgb="FF004F6C"/>
      </bottom>
      <diagonal/>
    </border>
    <border>
      <left/>
      <right/>
      <top style="thin">
        <color rgb="FF004F6C"/>
      </top>
      <bottom style="thin">
        <color rgb="FF004F6C"/>
      </bottom>
      <diagonal/>
    </border>
    <border>
      <left/>
      <right style="thin">
        <color rgb="FF004F6C"/>
      </right>
      <top style="thin">
        <color rgb="FF004F6C"/>
      </top>
      <bottom style="thin">
        <color rgb="FF004F6C"/>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rgb="FF00B050"/>
      </left>
      <right style="thin">
        <color rgb="FF00B050"/>
      </right>
      <top style="thin">
        <color rgb="FF00B050"/>
      </top>
      <bottom style="thin">
        <color rgb="FF00B050"/>
      </bottom>
      <diagonal/>
    </border>
    <border>
      <left style="thin">
        <color rgb="FF00B0F0"/>
      </left>
      <right style="thin">
        <color rgb="FF00B0F0"/>
      </right>
      <top style="thin">
        <color rgb="FF00B0F0"/>
      </top>
      <bottom style="thin">
        <color rgb="FF00B0F0"/>
      </bottom>
      <diagonal/>
    </border>
    <border>
      <left/>
      <right style="thin">
        <color theme="0" tint="-4.9989318521683403E-2"/>
      </right>
      <top style="thin">
        <color indexed="64"/>
      </top>
      <bottom style="thin">
        <color theme="0" tint="-4.9989318521683403E-2"/>
      </bottom>
      <diagonal/>
    </border>
    <border>
      <left/>
      <right style="thin">
        <color theme="0" tint="-4.9989318521683403E-2"/>
      </right>
      <top style="thin">
        <color theme="0" tint="-4.9989318521683403E-2"/>
      </top>
      <bottom style="medium">
        <color indexed="64"/>
      </bottom>
      <diagonal/>
    </border>
    <border>
      <left/>
      <right style="thin">
        <color rgb="FF10A3CB"/>
      </right>
      <top/>
      <bottom/>
      <diagonal/>
    </border>
    <border>
      <left style="thin">
        <color rgb="FFCBC4BC"/>
      </left>
      <right style="thin">
        <color rgb="FFCBC4BC"/>
      </right>
      <top style="thin">
        <color rgb="FFCBC4BC"/>
      </top>
      <bottom style="thin">
        <color rgb="FFCBC4BC"/>
      </bottom>
      <diagonal/>
    </border>
    <border>
      <left/>
      <right/>
      <top style="thin">
        <color theme="1"/>
      </top>
      <bottom style="thin">
        <color theme="1"/>
      </bottom>
      <diagonal/>
    </border>
    <border>
      <left/>
      <right/>
      <top/>
      <bottom style="thin">
        <color rgb="FF10A3CB"/>
      </bottom>
      <diagonal/>
    </border>
    <border>
      <left style="thin">
        <color rgb="FF10A3CB"/>
      </left>
      <right/>
      <top style="thin">
        <color rgb="FF10A3CB"/>
      </top>
      <bottom/>
      <diagonal/>
    </border>
    <border>
      <left/>
      <right/>
      <top style="thin">
        <color rgb="FF10A3CB"/>
      </top>
      <bottom/>
      <diagonal/>
    </border>
    <border>
      <left/>
      <right style="thin">
        <color rgb="FF10A3CB"/>
      </right>
      <top style="thin">
        <color rgb="FF10A3CB"/>
      </top>
      <bottom/>
      <diagonal/>
    </border>
    <border>
      <left style="thin">
        <color rgb="FF10A3CB"/>
      </left>
      <right/>
      <top/>
      <bottom style="thin">
        <color rgb="FF10A3CB"/>
      </bottom>
      <diagonal/>
    </border>
    <border>
      <left/>
      <right style="thin">
        <color rgb="FF10A3CB"/>
      </right>
      <top/>
      <bottom style="thin">
        <color rgb="FF10A3CB"/>
      </bottom>
      <diagonal/>
    </border>
    <border>
      <left/>
      <right/>
      <top style="thin">
        <color auto="1"/>
      </top>
      <bottom style="thin">
        <color auto="1"/>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medium">
        <color indexed="64"/>
      </bottom>
      <diagonal/>
    </border>
    <border>
      <left style="thin">
        <color theme="0"/>
      </left>
      <right style="thin">
        <color theme="0"/>
      </right>
      <top style="thin">
        <color indexed="64"/>
      </top>
      <bottom style="thin">
        <color theme="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1">
    <xf numFmtId="0" fontId="0" fillId="0" borderId="0"/>
    <xf numFmtId="9" fontId="10" fillId="0" borderId="0" applyFont="0" applyFill="0" applyBorder="0" applyAlignment="0" applyProtection="0"/>
    <xf numFmtId="0" fontId="10" fillId="0" borderId="0"/>
    <xf numFmtId="0" fontId="3" fillId="0" borderId="0"/>
    <xf numFmtId="0" fontId="10" fillId="0" borderId="0"/>
    <xf numFmtId="0" fontId="19" fillId="0" borderId="0"/>
    <xf numFmtId="0" fontId="22" fillId="0" borderId="0">
      <alignment vertical="center"/>
      <protection hidden="1"/>
    </xf>
    <xf numFmtId="0" fontId="10" fillId="0" borderId="0"/>
    <xf numFmtId="0" fontId="25" fillId="0" borderId="28">
      <alignment horizontal="center" vertical="center"/>
      <protection locked="0"/>
    </xf>
    <xf numFmtId="43" fontId="3" fillId="0" borderId="0" applyFont="0" applyFill="0" applyBorder="0" applyAlignment="0" applyProtection="0"/>
    <xf numFmtId="44"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36" fillId="2" borderId="88" applyNumberFormat="0" applyAlignment="0">
      <alignment horizontal="left" vertical="center" wrapText="1"/>
      <protection locked="0"/>
    </xf>
    <xf numFmtId="0" fontId="10" fillId="0" borderId="0"/>
    <xf numFmtId="0" fontId="69" fillId="0" borderId="0" applyNumberFormat="0" applyFill="0" applyBorder="0" applyAlignment="0" applyProtection="0"/>
    <xf numFmtId="0" fontId="10" fillId="0" borderId="0"/>
    <xf numFmtId="43" fontId="19" fillId="0" borderId="0" applyFont="0" applyFill="0" applyBorder="0" applyAlignment="0" applyProtection="0"/>
    <xf numFmtId="43" fontId="21" fillId="0" borderId="0" applyFont="0" applyFill="0" applyBorder="0" applyAlignment="0" applyProtection="0"/>
    <xf numFmtId="0" fontId="21" fillId="0" borderId="0"/>
    <xf numFmtId="0" fontId="10" fillId="0" borderId="0"/>
    <xf numFmtId="0" fontId="85" fillId="0" borderId="0"/>
    <xf numFmtId="0" fontId="10" fillId="0" borderId="0"/>
    <xf numFmtId="0" fontId="94" fillId="0" borderId="0"/>
    <xf numFmtId="0" fontId="21" fillId="0" borderId="0"/>
    <xf numFmtId="0" fontId="96" fillId="0" borderId="0" applyNumberFormat="0" applyFill="0" applyBorder="0" applyAlignment="0" applyProtection="0"/>
  </cellStyleXfs>
  <cellXfs count="829">
    <xf numFmtId="0" fontId="0" fillId="0" borderId="0" xfId="0"/>
    <xf numFmtId="0" fontId="1" fillId="0" borderId="0" xfId="0" applyFont="1"/>
    <xf numFmtId="0" fontId="1" fillId="0" borderId="5" xfId="0" applyFont="1" applyBorder="1"/>
    <xf numFmtId="0" fontId="1" fillId="0" borderId="2" xfId="0" applyFont="1" applyBorder="1"/>
    <xf numFmtId="0" fontId="0" fillId="3" borderId="6" xfId="0" applyFill="1" applyBorder="1"/>
    <xf numFmtId="0" fontId="0" fillId="3" borderId="4" xfId="0" applyFill="1" applyBorder="1"/>
    <xf numFmtId="0" fontId="0" fillId="0" borderId="6" xfId="0" applyBorder="1"/>
    <xf numFmtId="0" fontId="0" fillId="0" borderId="4" xfId="0" applyBorder="1"/>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1" fontId="2" fillId="0" borderId="0" xfId="0" applyNumberFormat="1" applyFont="1" applyAlignment="1">
      <alignment horizontal="center" vertical="center"/>
    </xf>
    <xf numFmtId="0" fontId="3" fillId="0" borderId="0" xfId="0" applyFont="1" applyProtection="1">
      <protection hidden="1"/>
    </xf>
    <xf numFmtId="0" fontId="0" fillId="0" borderId="0" xfId="0" applyProtection="1">
      <protection hidden="1"/>
    </xf>
    <xf numFmtId="0" fontId="8" fillId="9" borderId="18" xfId="0" applyFont="1" applyFill="1" applyBorder="1" applyAlignment="1" applyProtection="1">
      <alignment horizontal="center" wrapText="1"/>
      <protection hidden="1"/>
    </xf>
    <xf numFmtId="0" fontId="8" fillId="9" borderId="17" xfId="0" applyFont="1" applyFill="1" applyBorder="1" applyAlignment="1" applyProtection="1">
      <alignment horizontal="center" wrapText="1"/>
      <protection hidden="1"/>
    </xf>
    <xf numFmtId="0" fontId="7" fillId="0" borderId="0" xfId="0" applyFont="1" applyProtection="1">
      <protection hidden="1"/>
    </xf>
    <xf numFmtId="0" fontId="9" fillId="4" borderId="19" xfId="0" applyFont="1" applyFill="1" applyBorder="1" applyAlignment="1" applyProtection="1">
      <alignment horizontal="center" vertical="center" wrapText="1"/>
      <protection hidden="1"/>
    </xf>
    <xf numFmtId="0" fontId="4" fillId="9" borderId="20" xfId="0" applyFont="1" applyFill="1" applyBorder="1" applyAlignment="1" applyProtection="1">
      <alignment horizontal="center" vertical="center" wrapText="1"/>
      <protection hidden="1"/>
    </xf>
    <xf numFmtId="0" fontId="4" fillId="9" borderId="19" xfId="0" applyFont="1" applyFill="1" applyBorder="1" applyAlignment="1" applyProtection="1">
      <alignment horizontal="center" vertical="center" wrapText="1"/>
      <protection hidden="1"/>
    </xf>
    <xf numFmtId="166" fontId="4" fillId="9" borderId="19" xfId="0" applyNumberFormat="1"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9" fontId="0" fillId="0" borderId="0" xfId="1" applyFont="1"/>
    <xf numFmtId="0" fontId="12" fillId="14" borderId="19" xfId="2" applyFont="1" applyFill="1" applyBorder="1" applyAlignment="1" applyProtection="1">
      <alignment horizontal="center" vertical="center" wrapText="1"/>
      <protection hidden="1"/>
    </xf>
    <xf numFmtId="0" fontId="3" fillId="0" borderId="0" xfId="3"/>
    <xf numFmtId="0" fontId="1" fillId="15" borderId="3" xfId="3" applyFont="1" applyFill="1" applyBorder="1"/>
    <xf numFmtId="0" fontId="1" fillId="15" borderId="4" xfId="3" applyFont="1" applyFill="1" applyBorder="1"/>
    <xf numFmtId="0" fontId="1" fillId="15" borderId="22" xfId="3" applyFont="1" applyFill="1" applyBorder="1"/>
    <xf numFmtId="0" fontId="1" fillId="15" borderId="23" xfId="3" applyFont="1" applyFill="1" applyBorder="1"/>
    <xf numFmtId="0" fontId="2" fillId="16" borderId="0" xfId="3" applyFont="1" applyFill="1"/>
    <xf numFmtId="0" fontId="3" fillId="2" borderId="0" xfId="3" applyFill="1"/>
    <xf numFmtId="0" fontId="3" fillId="16" borderId="24" xfId="3" applyFill="1" applyBorder="1"/>
    <xf numFmtId="0" fontId="3" fillId="17" borderId="0" xfId="3" applyFill="1"/>
    <xf numFmtId="0" fontId="3" fillId="0" borderId="25" xfId="3" applyBorder="1" applyAlignment="1">
      <alignment horizontal="center"/>
    </xf>
    <xf numFmtId="0" fontId="3" fillId="0" borderId="26" xfId="3" applyBorder="1" applyAlignment="1">
      <alignment horizontal="center"/>
    </xf>
    <xf numFmtId="0" fontId="3" fillId="18" borderId="0" xfId="3" applyFill="1" applyAlignment="1">
      <alignment horizontal="center"/>
    </xf>
    <xf numFmtId="0" fontId="3" fillId="16" borderId="27" xfId="3" applyFill="1" applyBorder="1"/>
    <xf numFmtId="0" fontId="3" fillId="0" borderId="0" xfId="3" applyAlignment="1">
      <alignment horizontal="center"/>
    </xf>
    <xf numFmtId="0" fontId="2" fillId="10" borderId="0" xfId="3" applyFont="1" applyFill="1"/>
    <xf numFmtId="0" fontId="3" fillId="19" borderId="0" xfId="3" applyFill="1"/>
    <xf numFmtId="0" fontId="13" fillId="20" borderId="0" xfId="3" applyFont="1" applyFill="1" applyAlignment="1">
      <alignment horizontal="center"/>
    </xf>
    <xf numFmtId="0" fontId="3" fillId="10" borderId="3" xfId="3" applyFill="1" applyBorder="1"/>
    <xf numFmtId="0" fontId="14" fillId="0" borderId="0" xfId="3" applyFont="1" applyAlignment="1">
      <alignment horizontal="center"/>
    </xf>
    <xf numFmtId="0" fontId="3" fillId="10" borderId="0" xfId="3" applyFill="1"/>
    <xf numFmtId="0" fontId="15" fillId="0" borderId="0" xfId="3" applyFont="1"/>
    <xf numFmtId="0" fontId="18" fillId="0" borderId="0" xfId="3" applyFont="1"/>
    <xf numFmtId="0" fontId="22" fillId="0" borderId="0" xfId="6" applyProtection="1">
      <alignment vertical="center"/>
    </xf>
    <xf numFmtId="0" fontId="25" fillId="0" borderId="24" xfId="7" applyFont="1" applyBorder="1" applyAlignment="1" applyProtection="1">
      <alignment horizontal="center" vertical="center"/>
      <protection locked="0"/>
    </xf>
    <xf numFmtId="0" fontId="21" fillId="19" borderId="38" xfId="3" applyFont="1" applyFill="1" applyBorder="1" applyAlignment="1" applyProtection="1">
      <alignment horizontal="center" vertical="center" wrapText="1"/>
      <protection locked="0"/>
    </xf>
    <xf numFmtId="0" fontId="19" fillId="19" borderId="38" xfId="3" applyFont="1" applyFill="1" applyBorder="1" applyAlignment="1" applyProtection="1">
      <alignment horizontal="center" vertical="center" wrapText="1"/>
      <protection locked="0"/>
    </xf>
    <xf numFmtId="0" fontId="0" fillId="21" borderId="0" xfId="0" applyFill="1"/>
    <xf numFmtId="3" fontId="0" fillId="8" borderId="0" xfId="0" applyNumberFormat="1" applyFill="1"/>
    <xf numFmtId="0" fontId="0" fillId="8" borderId="0" xfId="0" applyFill="1"/>
    <xf numFmtId="0" fontId="1" fillId="0" borderId="56" xfId="0" applyFont="1" applyBorder="1"/>
    <xf numFmtId="0" fontId="35" fillId="13" borderId="57" xfId="0" applyFont="1" applyFill="1" applyBorder="1" applyAlignment="1">
      <alignment horizontal="center" vertical="top" wrapText="1"/>
    </xf>
    <xf numFmtId="0" fontId="35" fillId="13" borderId="7" xfId="0" applyFont="1" applyFill="1" applyBorder="1" applyAlignment="1">
      <alignment horizontal="center" vertical="top" wrapText="1"/>
    </xf>
    <xf numFmtId="0" fontId="35" fillId="0" borderId="7" xfId="0" applyFont="1" applyBorder="1" applyAlignment="1">
      <alignment horizontal="center" vertical="top" wrapText="1"/>
    </xf>
    <xf numFmtId="0" fontId="0" fillId="19" borderId="3" xfId="0" applyFill="1" applyBorder="1"/>
    <xf numFmtId="0" fontId="0" fillId="26" borderId="3" xfId="0" applyFont="1" applyFill="1" applyBorder="1"/>
    <xf numFmtId="165" fontId="0" fillId="26" borderId="3" xfId="0" applyNumberFormat="1" applyFont="1" applyFill="1" applyBorder="1"/>
    <xf numFmtId="0" fontId="0" fillId="19" borderId="3" xfId="0" applyFont="1" applyFill="1" applyBorder="1"/>
    <xf numFmtId="165" fontId="1" fillId="0" borderId="0" xfId="0" applyNumberFormat="1" applyFont="1"/>
    <xf numFmtId="3" fontId="1" fillId="0" borderId="0" xfId="0" applyNumberFormat="1" applyFont="1"/>
    <xf numFmtId="0" fontId="3" fillId="0" borderId="0" xfId="2" applyFont="1"/>
    <xf numFmtId="0" fontId="3" fillId="27" borderId="0" xfId="2" applyFont="1" applyFill="1"/>
    <xf numFmtId="0" fontId="28" fillId="28" borderId="0" xfId="2" applyFont="1" applyFill="1" applyAlignment="1" applyProtection="1">
      <alignment horizontal="right" vertical="center"/>
      <protection hidden="1"/>
    </xf>
    <xf numFmtId="0" fontId="3" fillId="28" borderId="0" xfId="2" applyFont="1" applyFill="1"/>
    <xf numFmtId="0" fontId="12" fillId="28" borderId="0" xfId="2" applyFont="1" applyFill="1" applyAlignment="1" applyProtection="1">
      <alignment horizontal="left" vertical="center"/>
      <protection hidden="1"/>
    </xf>
    <xf numFmtId="0" fontId="36" fillId="28" borderId="0" xfId="2" applyFont="1" applyFill="1" applyProtection="1">
      <protection hidden="1"/>
    </xf>
    <xf numFmtId="171" fontId="12" fillId="28" borderId="0" xfId="2" applyNumberFormat="1" applyFont="1" applyFill="1" applyAlignment="1" applyProtection="1">
      <alignment horizontal="left" vertical="center"/>
      <protection hidden="1"/>
    </xf>
    <xf numFmtId="0" fontId="3" fillId="28" borderId="0" xfId="2" applyFont="1" applyFill="1" applyAlignment="1" applyProtection="1">
      <alignment horizontal="left" vertical="center"/>
      <protection hidden="1"/>
    </xf>
    <xf numFmtId="0" fontId="28" fillId="0" borderId="0" xfId="2" applyFont="1" applyAlignment="1" applyProtection="1">
      <alignment horizontal="right" vertical="center"/>
      <protection hidden="1"/>
    </xf>
    <xf numFmtId="0" fontId="36" fillId="0" borderId="0" xfId="2" applyFont="1" applyAlignment="1" applyProtection="1">
      <alignment horizontal="left" vertical="center"/>
      <protection locked="0"/>
    </xf>
    <xf numFmtId="0" fontId="3" fillId="0" borderId="0" xfId="2" applyFont="1" applyAlignment="1" applyProtection="1">
      <alignment horizontal="left" vertical="center"/>
      <protection hidden="1"/>
    </xf>
    <xf numFmtId="0" fontId="36" fillId="0" borderId="0" xfId="2" applyFont="1" applyAlignment="1" applyProtection="1">
      <alignment horizontal="left" vertical="center"/>
      <protection hidden="1"/>
    </xf>
    <xf numFmtId="0" fontId="3" fillId="0" borderId="0" xfId="2" applyFont="1" applyProtection="1">
      <protection hidden="1"/>
    </xf>
    <xf numFmtId="171" fontId="36" fillId="0" borderId="0" xfId="2" applyNumberFormat="1" applyFont="1" applyAlignment="1" applyProtection="1">
      <alignment horizontal="left" vertical="center"/>
      <protection hidden="1"/>
    </xf>
    <xf numFmtId="171" fontId="3" fillId="0" borderId="0" xfId="2" applyNumberFormat="1" applyFont="1" applyAlignment="1" applyProtection="1">
      <alignment horizontal="left" vertical="center"/>
      <protection hidden="1"/>
    </xf>
    <xf numFmtId="0" fontId="38" fillId="0" borderId="0" xfId="2" applyFont="1" applyAlignment="1" applyProtection="1">
      <alignment horizontal="center"/>
      <protection hidden="1"/>
    </xf>
    <xf numFmtId="0" fontId="26" fillId="19" borderId="0" xfId="2" applyFont="1" applyFill="1" applyAlignment="1" applyProtection="1">
      <alignment horizontal="left" vertical="center"/>
      <protection hidden="1"/>
    </xf>
    <xf numFmtId="0" fontId="38" fillId="19" borderId="0" xfId="2" applyFont="1" applyFill="1" applyAlignment="1" applyProtection="1">
      <alignment horizontal="center"/>
      <protection hidden="1"/>
    </xf>
    <xf numFmtId="0" fontId="28" fillId="19" borderId="0" xfId="2" applyFont="1" applyFill="1" applyAlignment="1" applyProtection="1">
      <alignment horizontal="right"/>
      <protection hidden="1"/>
    </xf>
    <xf numFmtId="0" fontId="21" fillId="0" borderId="0" xfId="2" applyFont="1" applyAlignment="1">
      <alignment vertical="center" wrapText="1"/>
    </xf>
    <xf numFmtId="0" fontId="26" fillId="0" borderId="0" xfId="2" applyFont="1" applyAlignment="1" applyProtection="1">
      <alignment horizontal="center" vertical="center" wrapText="1"/>
      <protection locked="0"/>
    </xf>
    <xf numFmtId="0" fontId="3" fillId="0" borderId="0" xfId="2" applyFont="1" applyAlignment="1" applyProtection="1">
      <alignment vertical="center"/>
      <protection hidden="1"/>
    </xf>
    <xf numFmtId="3" fontId="3" fillId="0" borderId="0" xfId="2" applyNumberFormat="1" applyFont="1" applyAlignment="1" applyProtection="1">
      <alignment horizontal="right" vertical="center"/>
      <protection locked="0"/>
    </xf>
    <xf numFmtId="172" fontId="3" fillId="0" borderId="0" xfId="2" applyNumberFormat="1" applyFont="1" applyAlignment="1" applyProtection="1">
      <alignment horizontal="center" vertical="center" wrapText="1"/>
      <protection locked="0"/>
    </xf>
    <xf numFmtId="0" fontId="39" fillId="0" borderId="0" xfId="2" applyFont="1" applyProtection="1">
      <protection hidden="1"/>
    </xf>
    <xf numFmtId="3" fontId="21" fillId="0" borderId="0" xfId="2" applyNumberFormat="1" applyFont="1" applyAlignment="1" applyProtection="1">
      <alignment vertical="center"/>
      <protection locked="0"/>
    </xf>
    <xf numFmtId="0" fontId="3" fillId="19" borderId="0" xfId="2" applyFont="1" applyFill="1" applyProtection="1">
      <protection hidden="1"/>
    </xf>
    <xf numFmtId="0" fontId="21" fillId="19" borderId="0" xfId="2" applyFont="1" applyFill="1" applyAlignment="1" applyProtection="1">
      <alignment horizontal="left" vertical="center" wrapText="1"/>
      <protection hidden="1"/>
    </xf>
    <xf numFmtId="0" fontId="26" fillId="28" borderId="0" xfId="2" applyFont="1" applyFill="1" applyAlignment="1" applyProtection="1">
      <alignment vertical="center"/>
      <protection hidden="1"/>
    </xf>
    <xf numFmtId="0" fontId="41" fillId="0" borderId="0" xfId="2" applyFont="1" applyAlignment="1" applyProtection="1">
      <alignment vertical="center"/>
      <protection hidden="1"/>
    </xf>
    <xf numFmtId="0" fontId="28" fillId="0" borderId="0" xfId="2" applyFont="1" applyAlignment="1" applyProtection="1">
      <alignment horizontal="left" vertical="center" wrapText="1"/>
      <protection hidden="1"/>
    </xf>
    <xf numFmtId="0" fontId="21" fillId="19" borderId="62" xfId="2" applyFont="1" applyFill="1" applyBorder="1" applyProtection="1">
      <protection hidden="1"/>
    </xf>
    <xf numFmtId="0" fontId="21" fillId="19" borderId="63" xfId="2" applyFont="1" applyFill="1" applyBorder="1" applyProtection="1">
      <protection hidden="1"/>
    </xf>
    <xf numFmtId="0" fontId="42" fillId="19" borderId="65" xfId="2" applyFont="1" applyFill="1" applyBorder="1" applyAlignment="1" applyProtection="1">
      <alignment vertical="center"/>
      <protection hidden="1"/>
    </xf>
    <xf numFmtId="0" fontId="21" fillId="19" borderId="0" xfId="2" applyFont="1" applyFill="1" applyProtection="1">
      <protection hidden="1"/>
    </xf>
    <xf numFmtId="0" fontId="21" fillId="19" borderId="60" xfId="2" applyFont="1" applyFill="1" applyBorder="1" applyProtection="1">
      <protection hidden="1"/>
    </xf>
    <xf numFmtId="0" fontId="21" fillId="19" borderId="60" xfId="2" applyFont="1" applyFill="1" applyBorder="1" applyAlignment="1" applyProtection="1">
      <alignment wrapText="1"/>
      <protection hidden="1"/>
    </xf>
    <xf numFmtId="0" fontId="28" fillId="19" borderId="0" xfId="2" applyFont="1" applyFill="1" applyAlignment="1" applyProtection="1">
      <alignment horizontal="left" vertical="center" wrapText="1" indent="1"/>
      <protection hidden="1"/>
    </xf>
    <xf numFmtId="0" fontId="28" fillId="0" borderId="0" xfId="2" applyFont="1" applyAlignment="1" applyProtection="1">
      <alignment horizontal="left" vertical="center" indent="1"/>
      <protection hidden="1"/>
    </xf>
    <xf numFmtId="0" fontId="26" fillId="0" borderId="0" xfId="2" applyFont="1" applyAlignment="1" applyProtection="1">
      <alignment horizontal="left" vertical="center"/>
      <protection hidden="1"/>
    </xf>
    <xf numFmtId="0" fontId="28" fillId="0" borderId="0" xfId="2" applyFont="1" applyAlignment="1" applyProtection="1">
      <alignment horizontal="left" vertical="center" wrapText="1" indent="1"/>
      <protection hidden="1"/>
    </xf>
    <xf numFmtId="0" fontId="28" fillId="0" borderId="0" xfId="2" applyFont="1" applyAlignment="1" applyProtection="1">
      <alignment horizontal="right" vertical="center" indent="1"/>
      <protection hidden="1"/>
    </xf>
    <xf numFmtId="0" fontId="43" fillId="0" borderId="0" xfId="2" applyFont="1" applyAlignment="1" applyProtection="1">
      <alignment horizontal="left" vertical="center"/>
      <protection hidden="1"/>
    </xf>
    <xf numFmtId="0" fontId="28" fillId="0" borderId="0" xfId="2" applyFont="1" applyAlignment="1" applyProtection="1">
      <alignment horizontal="center" vertical="center" wrapText="1"/>
      <protection locked="0"/>
    </xf>
    <xf numFmtId="14" fontId="28" fillId="0" borderId="0" xfId="2" applyNumberFormat="1" applyFont="1" applyAlignment="1" applyProtection="1">
      <alignment horizontal="left" vertical="center" wrapText="1"/>
      <protection locked="0"/>
    </xf>
    <xf numFmtId="0" fontId="21" fillId="0" borderId="0" xfId="2" applyFont="1" applyAlignment="1" applyProtection="1">
      <alignment vertical="center"/>
      <protection hidden="1"/>
    </xf>
    <xf numFmtId="0" fontId="21" fillId="0" borderId="0" xfId="2" applyFont="1" applyAlignment="1" applyProtection="1">
      <alignment horizontal="right" vertical="center"/>
      <protection hidden="1"/>
    </xf>
    <xf numFmtId="0" fontId="21" fillId="0" borderId="0" xfId="2" applyFont="1" applyAlignment="1" applyProtection="1">
      <alignment horizontal="center" vertical="center"/>
      <protection locked="0"/>
    </xf>
    <xf numFmtId="0" fontId="21" fillId="0" borderId="0" xfId="2" applyFont="1" applyAlignment="1" applyProtection="1">
      <alignment horizontal="left" vertical="center"/>
      <protection locked="0"/>
    </xf>
    <xf numFmtId="0" fontId="3" fillId="0" borderId="0" xfId="2" applyFont="1" applyAlignment="1" applyProtection="1">
      <alignment horizontal="center" vertical="center"/>
      <protection locked="0"/>
    </xf>
    <xf numFmtId="0" fontId="3" fillId="0" borderId="0" xfId="2" applyFont="1" applyAlignment="1" applyProtection="1">
      <alignment horizontal="left" vertical="center"/>
      <protection locked="0"/>
    </xf>
    <xf numFmtId="0" fontId="28" fillId="0" borderId="0" xfId="2" applyFont="1" applyAlignment="1" applyProtection="1">
      <alignment horizontal="justify" vertical="center"/>
      <protection hidden="1"/>
    </xf>
    <xf numFmtId="0" fontId="44" fillId="19" borderId="0" xfId="2" applyFont="1" applyFill="1" applyAlignment="1" applyProtection="1">
      <alignment vertical="center"/>
      <protection hidden="1"/>
    </xf>
    <xf numFmtId="0" fontId="37" fillId="0" borderId="0" xfId="2" applyFont="1" applyAlignment="1" applyProtection="1">
      <alignment horizontal="left" vertical="center"/>
      <protection hidden="1"/>
    </xf>
    <xf numFmtId="0" fontId="3" fillId="0" borderId="0" xfId="2" applyFont="1" applyAlignment="1" applyProtection="1">
      <alignment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left" vertical="center" wrapText="1"/>
      <protection hidden="1"/>
    </xf>
    <xf numFmtId="0" fontId="45" fillId="19" borderId="0" xfId="2" applyFont="1" applyFill="1" applyAlignment="1" applyProtection="1">
      <alignment horizontal="left" vertical="center"/>
      <protection hidden="1"/>
    </xf>
    <xf numFmtId="0" fontId="46" fillId="0" borderId="0" xfId="2" applyFont="1" applyAlignment="1" applyProtection="1">
      <alignment vertical="center" wrapText="1"/>
      <protection hidden="1"/>
    </xf>
    <xf numFmtId="0" fontId="46" fillId="0" borderId="0" xfId="2" applyFont="1" applyAlignment="1" applyProtection="1">
      <alignment horizontal="left" vertical="center" wrapText="1"/>
      <protection hidden="1"/>
    </xf>
    <xf numFmtId="0" fontId="46" fillId="29" borderId="58" xfId="2" applyFont="1" applyFill="1" applyBorder="1" applyAlignment="1" applyProtection="1">
      <alignment vertical="center" wrapText="1"/>
      <protection hidden="1"/>
    </xf>
    <xf numFmtId="0" fontId="46" fillId="29" borderId="73" xfId="2" applyFont="1" applyFill="1" applyBorder="1" applyAlignment="1" applyProtection="1">
      <alignment vertical="center" wrapText="1"/>
      <protection hidden="1"/>
    </xf>
    <xf numFmtId="0" fontId="48" fillId="0" borderId="0" xfId="2" applyFont="1" applyAlignment="1" applyProtection="1">
      <alignment horizontal="left" vertical="center" wrapText="1" indent="1"/>
      <protection hidden="1"/>
    </xf>
    <xf numFmtId="44" fontId="49" fillId="0" borderId="0" xfId="2" applyNumberFormat="1" applyFont="1" applyAlignment="1" applyProtection="1">
      <alignment horizontal="center" vertical="center" wrapText="1"/>
      <protection locked="0"/>
    </xf>
    <xf numFmtId="0" fontId="26" fillId="0" borderId="0" xfId="2" applyFont="1" applyAlignment="1" applyProtection="1">
      <alignment vertical="center"/>
      <protection hidden="1"/>
    </xf>
    <xf numFmtId="0" fontId="3" fillId="19" borderId="0" xfId="2" applyFont="1" applyFill="1" applyAlignment="1" applyProtection="1">
      <alignment horizontal="right"/>
      <protection hidden="1"/>
    </xf>
    <xf numFmtId="0" fontId="26" fillId="0" borderId="0" xfId="2" applyFont="1" applyAlignment="1" applyProtection="1">
      <alignment horizontal="center" vertical="center" wrapText="1"/>
      <protection locked="0" hidden="1"/>
    </xf>
    <xf numFmtId="0" fontId="21" fillId="19" borderId="0" xfId="2" applyFont="1" applyFill="1" applyAlignment="1" applyProtection="1">
      <alignment horizontal="justify" vertical="center" wrapText="1"/>
      <protection hidden="1"/>
    </xf>
    <xf numFmtId="0" fontId="3" fillId="29" borderId="0" xfId="2" applyFont="1" applyFill="1" applyAlignment="1" applyProtection="1">
      <alignment horizontal="left" vertical="center"/>
      <protection hidden="1"/>
    </xf>
    <xf numFmtId="0" fontId="28" fillId="29" borderId="0" xfId="2" applyFont="1" applyFill="1" applyAlignment="1" applyProtection="1">
      <alignment horizontal="right" vertical="center"/>
      <protection hidden="1"/>
    </xf>
    <xf numFmtId="0" fontId="3" fillId="29" borderId="0" xfId="2" applyFont="1" applyFill="1"/>
    <xf numFmtId="171" fontId="12" fillId="29" borderId="0" xfId="2" applyNumberFormat="1" applyFont="1" applyFill="1" applyAlignment="1" applyProtection="1">
      <alignment horizontal="left" vertical="center"/>
      <protection hidden="1"/>
    </xf>
    <xf numFmtId="0" fontId="36" fillId="29" borderId="0" xfId="2" applyFont="1" applyFill="1" applyProtection="1">
      <protection hidden="1"/>
    </xf>
    <xf numFmtId="0" fontId="12" fillId="29" borderId="0" xfId="2" applyFont="1" applyFill="1" applyAlignment="1" applyProtection="1">
      <alignment horizontal="left" vertical="center"/>
      <protection hidden="1"/>
    </xf>
    <xf numFmtId="0" fontId="3" fillId="7" borderId="0" xfId="2" applyFont="1" applyFill="1"/>
    <xf numFmtId="0" fontId="12" fillId="14" borderId="19" xfId="2" applyFont="1" applyFill="1" applyBorder="1" applyAlignment="1" applyProtection="1">
      <alignment horizontal="left" vertical="center" wrapText="1"/>
      <protection hidden="1"/>
    </xf>
    <xf numFmtId="0" fontId="52" fillId="0" borderId="0" xfId="2" applyFont="1"/>
    <xf numFmtId="0" fontId="21" fillId="0" borderId="0" xfId="2" applyFont="1"/>
    <xf numFmtId="0" fontId="53" fillId="19" borderId="0" xfId="2" applyFont="1" applyFill="1" applyAlignment="1" applyProtection="1">
      <alignment vertical="center"/>
      <protection hidden="1"/>
    </xf>
    <xf numFmtId="0" fontId="27" fillId="0" borderId="0" xfId="2" applyFont="1" applyAlignment="1" applyProtection="1">
      <alignment horizontal="left" vertical="center"/>
      <protection hidden="1"/>
    </xf>
    <xf numFmtId="0" fontId="21" fillId="0" borderId="0" xfId="2" quotePrefix="1" applyFont="1"/>
    <xf numFmtId="0" fontId="36" fillId="14" borderId="19" xfId="2" applyFont="1" applyFill="1" applyBorder="1" applyAlignment="1" applyProtection="1">
      <alignment horizontal="left" vertical="center" wrapText="1"/>
      <protection hidden="1"/>
    </xf>
    <xf numFmtId="5" fontId="36" fillId="14" borderId="19" xfId="2" applyNumberFormat="1" applyFont="1" applyFill="1" applyBorder="1" applyAlignment="1" applyProtection="1">
      <alignment horizontal="center" vertical="center" wrapText="1"/>
      <protection hidden="1"/>
    </xf>
    <xf numFmtId="0" fontId="21" fillId="19" borderId="0" xfId="2" applyFont="1" applyFill="1" applyBorder="1" applyProtection="1">
      <protection hidden="1"/>
    </xf>
    <xf numFmtId="0" fontId="21" fillId="19" borderId="0" xfId="2" applyFont="1" applyFill="1" applyBorder="1" applyAlignment="1" applyProtection="1">
      <alignment wrapText="1"/>
      <protection hidden="1"/>
    </xf>
    <xf numFmtId="0" fontId="3" fillId="19" borderId="0" xfId="2" applyFont="1" applyFill="1"/>
    <xf numFmtId="171" fontId="3" fillId="19" borderId="0" xfId="2" applyNumberFormat="1" applyFont="1" applyFill="1" applyAlignment="1" applyProtection="1">
      <alignment horizontal="left" vertical="center"/>
      <protection hidden="1"/>
    </xf>
    <xf numFmtId="0" fontId="37" fillId="19" borderId="0" xfId="2" applyFont="1" applyFill="1" applyAlignment="1" applyProtection="1">
      <alignment horizontal="left" vertical="center"/>
      <protection hidden="1"/>
    </xf>
    <xf numFmtId="0" fontId="21" fillId="19" borderId="0" xfId="2" applyFont="1" applyFill="1" applyAlignment="1">
      <alignment vertical="center" wrapText="1"/>
    </xf>
    <xf numFmtId="0" fontId="3" fillId="19" borderId="0" xfId="2" applyFont="1" applyFill="1" applyAlignment="1" applyProtection="1">
      <alignment vertical="center"/>
      <protection hidden="1"/>
    </xf>
    <xf numFmtId="0" fontId="26" fillId="19" borderId="0" xfId="2" applyFont="1" applyFill="1" applyAlignment="1" applyProtection="1">
      <alignment horizontal="left" vertical="center" wrapText="1"/>
      <protection hidden="1"/>
    </xf>
    <xf numFmtId="0" fontId="28" fillId="19" borderId="0" xfId="2" applyFont="1" applyFill="1" applyAlignment="1" applyProtection="1">
      <alignment horizontal="left" vertical="center" wrapText="1"/>
      <protection hidden="1"/>
    </xf>
    <xf numFmtId="0" fontId="21" fillId="19" borderId="0" xfId="2" applyFont="1" applyFill="1" applyAlignment="1" applyProtection="1">
      <alignment horizontal="center" vertical="center"/>
      <protection locked="0"/>
    </xf>
    <xf numFmtId="0" fontId="3" fillId="19" borderId="0" xfId="2" applyFont="1" applyFill="1" applyAlignment="1" applyProtection="1">
      <alignment horizontal="center" vertical="center"/>
      <protection locked="0"/>
    </xf>
    <xf numFmtId="0" fontId="27" fillId="19" borderId="0" xfId="2" applyFont="1" applyFill="1" applyAlignment="1" applyProtection="1">
      <alignment horizontal="left" vertical="center"/>
      <protection hidden="1"/>
    </xf>
    <xf numFmtId="0" fontId="49" fillId="19" borderId="0" xfId="2" applyFont="1" applyFill="1" applyBorder="1" applyAlignment="1">
      <alignment horizontal="center"/>
    </xf>
    <xf numFmtId="0" fontId="12" fillId="19" borderId="0" xfId="2" applyFont="1" applyFill="1" applyBorder="1" applyAlignment="1" applyProtection="1">
      <alignment horizontal="center" vertical="center" wrapText="1"/>
      <protection hidden="1"/>
    </xf>
    <xf numFmtId="0" fontId="12" fillId="19" borderId="0" xfId="2" applyFont="1" applyFill="1" applyBorder="1" applyAlignment="1" applyProtection="1">
      <alignment horizontal="left" vertical="center" wrapText="1"/>
      <protection hidden="1"/>
    </xf>
    <xf numFmtId="0" fontId="0" fillId="19" borderId="0" xfId="0" applyFill="1"/>
    <xf numFmtId="0" fontId="3" fillId="0" borderId="0" xfId="0" applyFont="1" applyAlignment="1" applyProtection="1">
      <alignment vertical="center"/>
      <protection hidden="1"/>
    </xf>
    <xf numFmtId="0" fontId="55" fillId="19" borderId="0" xfId="0" applyFont="1" applyFill="1" applyAlignment="1" applyProtection="1">
      <alignment vertical="center"/>
      <protection hidden="1"/>
    </xf>
    <xf numFmtId="0" fontId="3" fillId="0" borderId="74" xfId="0" applyFont="1" applyBorder="1" applyAlignment="1" applyProtection="1">
      <alignment vertical="center"/>
      <protection hidden="1"/>
    </xf>
    <xf numFmtId="0" fontId="57" fillId="19" borderId="74" xfId="0" applyFont="1" applyFill="1" applyBorder="1" applyAlignment="1" applyProtection="1">
      <alignment vertical="center"/>
      <protection hidden="1"/>
    </xf>
    <xf numFmtId="0" fontId="3" fillId="0" borderId="75" xfId="0" applyFont="1" applyBorder="1" applyAlignment="1" applyProtection="1">
      <alignment vertical="center"/>
      <protection hidden="1"/>
    </xf>
    <xf numFmtId="0" fontId="3" fillId="0" borderId="76" xfId="0" applyFont="1" applyBorder="1" applyAlignment="1" applyProtection="1">
      <alignment vertical="center"/>
      <protection hidden="1"/>
    </xf>
    <xf numFmtId="0" fontId="3" fillId="0" borderId="0" xfId="0" applyFont="1" applyAlignment="1" applyProtection="1">
      <alignment vertical="top"/>
      <protection hidden="1"/>
    </xf>
    <xf numFmtId="0" fontId="3" fillId="0" borderId="77" xfId="0" applyFont="1" applyBorder="1" applyAlignment="1" applyProtection="1">
      <alignment vertical="center"/>
      <protection hidden="1"/>
    </xf>
    <xf numFmtId="0" fontId="58" fillId="19" borderId="0" xfId="0" applyFont="1" applyFill="1" applyAlignment="1" applyProtection="1">
      <alignment horizontal="right" vertical="center" indent="1"/>
      <protection hidden="1"/>
    </xf>
    <xf numFmtId="0" fontId="16" fillId="0" borderId="0" xfId="0" applyFont="1" applyAlignment="1" applyProtection="1">
      <alignment vertical="top"/>
      <protection hidden="1"/>
    </xf>
    <xf numFmtId="0" fontId="59" fillId="0" borderId="0" xfId="0" applyFont="1" applyAlignment="1" applyProtection="1">
      <alignment vertical="center"/>
      <protection hidden="1"/>
    </xf>
    <xf numFmtId="0" fontId="28" fillId="0" borderId="0" xfId="0" applyFont="1" applyAlignment="1" applyProtection="1">
      <alignment horizontal="right" vertical="center"/>
      <protection hidden="1"/>
    </xf>
    <xf numFmtId="8" fontId="3" fillId="0" borderId="0" xfId="0" applyNumberFormat="1" applyFont="1" applyAlignment="1" applyProtection="1">
      <alignment vertical="center"/>
      <protection hidden="1"/>
    </xf>
    <xf numFmtId="0" fontId="60" fillId="19" borderId="0" xfId="0" applyFont="1" applyFill="1" applyAlignment="1" applyProtection="1">
      <alignment vertical="center"/>
      <protection hidden="1"/>
    </xf>
    <xf numFmtId="0" fontId="61" fillId="0" borderId="0" xfId="0" applyFont="1" applyAlignment="1" applyProtection="1">
      <alignment horizontal="right" vertical="center"/>
      <protection hidden="1"/>
    </xf>
    <xf numFmtId="0" fontId="4" fillId="0" borderId="0" xfId="0" applyFont="1" applyAlignment="1" applyProtection="1">
      <alignment vertical="center"/>
      <protection hidden="1"/>
    </xf>
    <xf numFmtId="169" fontId="4" fillId="0" borderId="0" xfId="0" applyNumberFormat="1" applyFont="1" applyAlignment="1" applyProtection="1">
      <alignment vertical="center"/>
      <protection hidden="1"/>
    </xf>
    <xf numFmtId="0" fontId="62" fillId="0" borderId="0" xfId="0" applyFont="1" applyAlignment="1" applyProtection="1">
      <alignment horizontal="left" vertical="center"/>
      <protection hidden="1"/>
    </xf>
    <xf numFmtId="0" fontId="3" fillId="0" borderId="19" xfId="0" applyFont="1" applyBorder="1" applyAlignment="1" applyProtection="1">
      <alignment vertical="center"/>
      <protection hidden="1"/>
    </xf>
    <xf numFmtId="0" fontId="63" fillId="0" borderId="77" xfId="0" applyFont="1" applyBorder="1" applyAlignment="1" applyProtection="1">
      <alignment horizontal="right" vertical="center"/>
      <protection hidden="1"/>
    </xf>
    <xf numFmtId="0" fontId="62" fillId="0" borderId="77" xfId="0" applyFont="1" applyBorder="1" applyAlignment="1" applyProtection="1">
      <alignment horizontal="right" vertical="center"/>
      <protection hidden="1"/>
    </xf>
    <xf numFmtId="0" fontId="3" fillId="0" borderId="81" xfId="0" applyFont="1" applyBorder="1" applyAlignment="1" applyProtection="1">
      <alignment vertical="center"/>
      <protection hidden="1"/>
    </xf>
    <xf numFmtId="0" fontId="60" fillId="19" borderId="81" xfId="0" applyFont="1" applyFill="1" applyBorder="1" applyAlignment="1" applyProtection="1">
      <alignment vertical="center"/>
      <protection hidden="1"/>
    </xf>
    <xf numFmtId="0" fontId="4" fillId="0" borderId="19" xfId="0" applyFont="1" applyBorder="1" applyAlignment="1" applyProtection="1">
      <alignment vertical="center"/>
      <protection hidden="1"/>
    </xf>
    <xf numFmtId="0" fontId="6" fillId="9" borderId="0" xfId="0" applyFont="1" applyFill="1" applyAlignment="1" applyProtection="1">
      <alignment vertical="center"/>
      <protection hidden="1"/>
    </xf>
    <xf numFmtId="0" fontId="4" fillId="9" borderId="0" xfId="0" applyFont="1" applyFill="1" applyAlignment="1" applyProtection="1">
      <alignment vertical="center"/>
      <protection hidden="1"/>
    </xf>
    <xf numFmtId="0" fontId="4" fillId="0" borderId="17" xfId="0" applyFont="1" applyBorder="1" applyAlignment="1" applyProtection="1">
      <alignment vertical="center"/>
      <protection hidden="1"/>
    </xf>
    <xf numFmtId="0" fontId="3" fillId="0" borderId="0" xfId="0" applyFont="1" applyAlignment="1" applyProtection="1">
      <alignment horizontal="right" vertical="center"/>
      <protection hidden="1"/>
    </xf>
    <xf numFmtId="0" fontId="4" fillId="0" borderId="13" xfId="0" applyFont="1" applyBorder="1" applyAlignment="1" applyProtection="1">
      <alignment vertical="center"/>
      <protection hidden="1"/>
    </xf>
    <xf numFmtId="0" fontId="4" fillId="0" borderId="9"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4" fillId="0" borderId="14" xfId="0" applyFont="1" applyBorder="1" applyAlignment="1" applyProtection="1">
      <alignment vertical="center"/>
      <protection hidden="1"/>
    </xf>
    <xf numFmtId="0" fontId="4" fillId="0" borderId="15" xfId="0" applyFont="1" applyBorder="1" applyAlignment="1" applyProtection="1">
      <alignment vertical="center"/>
      <protection hidden="1"/>
    </xf>
    <xf numFmtId="0" fontId="4" fillId="4" borderId="19" xfId="0" applyFont="1" applyFill="1" applyBorder="1" applyAlignment="1" applyProtection="1">
      <alignment vertical="center"/>
      <protection hidden="1"/>
    </xf>
    <xf numFmtId="0" fontId="4" fillId="4" borderId="19" xfId="0" applyFont="1" applyFill="1" applyBorder="1" applyAlignment="1" applyProtection="1">
      <alignment vertical="center" wrapText="1"/>
      <protection hidden="1"/>
    </xf>
    <xf numFmtId="165" fontId="0" fillId="26" borderId="1" xfId="0" applyNumberFormat="1" applyFont="1" applyFill="1" applyBorder="1"/>
    <xf numFmtId="0" fontId="35" fillId="13" borderId="82" xfId="0" applyFont="1" applyFill="1" applyBorder="1" applyAlignment="1">
      <alignment horizontal="center" vertical="top" wrapText="1"/>
    </xf>
    <xf numFmtId="0" fontId="49" fillId="0" borderId="14" xfId="2" applyFont="1" applyBorder="1" applyAlignment="1">
      <alignment horizontal="center"/>
    </xf>
    <xf numFmtId="0" fontId="64" fillId="0" borderId="0" xfId="0" applyFont="1"/>
    <xf numFmtId="0" fontId="37" fillId="0" borderId="0" xfId="2" applyFont="1" applyAlignment="1" applyProtection="1">
      <alignment vertical="center"/>
      <protection hidden="1"/>
    </xf>
    <xf numFmtId="0" fontId="35" fillId="19" borderId="3" xfId="0" applyFont="1" applyFill="1" applyBorder="1" applyAlignment="1">
      <alignment horizontal="center" vertical="top" wrapText="1"/>
    </xf>
    <xf numFmtId="3" fontId="0" fillId="26" borderId="3" xfId="0" applyNumberFormat="1" applyFont="1" applyFill="1" applyBorder="1"/>
    <xf numFmtId="0" fontId="35" fillId="19" borderId="8" xfId="0" applyFont="1" applyFill="1" applyBorder="1" applyAlignment="1">
      <alignment horizontal="center" vertical="top" wrapText="1"/>
    </xf>
    <xf numFmtId="0" fontId="0" fillId="0" borderId="3" xfId="0" applyBorder="1"/>
    <xf numFmtId="0" fontId="21" fillId="0" borderId="6"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3" fontId="30" fillId="4" borderId="19" xfId="0" applyNumberFormat="1" applyFont="1" applyFill="1" applyBorder="1" applyAlignment="1" applyProtection="1">
      <alignment horizontal="center" vertical="center" wrapText="1"/>
      <protection hidden="1"/>
    </xf>
    <xf numFmtId="164" fontId="21" fillId="11" borderId="3" xfId="0" applyNumberFormat="1" applyFont="1" applyFill="1" applyBorder="1" applyAlignment="1" applyProtection="1">
      <alignment horizontal="center" vertical="center"/>
      <protection hidden="1"/>
    </xf>
    <xf numFmtId="164" fontId="21" fillId="10" borderId="3" xfId="0" applyNumberFormat="1" applyFont="1" applyFill="1" applyBorder="1" applyAlignment="1" applyProtection="1">
      <alignment horizontal="center" vertical="center"/>
      <protection hidden="1"/>
    </xf>
    <xf numFmtId="164" fontId="21" fillId="2" borderId="3" xfId="0" applyNumberFormat="1" applyFont="1" applyFill="1" applyBorder="1" applyAlignment="1" applyProtection="1">
      <alignment horizontal="center" vertical="center"/>
      <protection hidden="1"/>
    </xf>
    <xf numFmtId="165" fontId="21" fillId="12" borderId="3" xfId="0" applyNumberFormat="1" applyFont="1" applyFill="1" applyBorder="1" applyAlignment="1" applyProtection="1">
      <alignment horizontal="center" vertical="center"/>
      <protection hidden="1"/>
    </xf>
    <xf numFmtId="3" fontId="21" fillId="12" borderId="3" xfId="0" applyNumberFormat="1" applyFont="1" applyFill="1" applyBorder="1" applyAlignment="1" applyProtection="1">
      <alignment horizontal="center" vertical="center"/>
      <protection hidden="1"/>
    </xf>
    <xf numFmtId="165" fontId="21" fillId="2" borderId="3" xfId="0" applyNumberFormat="1" applyFont="1" applyFill="1" applyBorder="1" applyAlignment="1" applyProtection="1">
      <alignment horizontal="center" vertical="center"/>
      <protection hidden="1"/>
    </xf>
    <xf numFmtId="3" fontId="21" fillId="2" borderId="3" xfId="0" applyNumberFormat="1" applyFont="1" applyFill="1" applyBorder="1" applyAlignment="1" applyProtection="1">
      <alignment horizontal="center" vertical="center"/>
      <protection hidden="1"/>
    </xf>
    <xf numFmtId="0" fontId="36" fillId="0" borderId="0" xfId="2" applyFont="1"/>
    <xf numFmtId="0" fontId="3" fillId="0" borderId="0" xfId="3" applyAlignment="1" applyProtection="1">
      <alignment horizontal="left"/>
    </xf>
    <xf numFmtId="0" fontId="3" fillId="0" borderId="0" xfId="3" applyProtection="1"/>
    <xf numFmtId="0" fontId="30" fillId="9" borderId="38" xfId="3" applyFont="1" applyFill="1" applyBorder="1" applyAlignment="1" applyProtection="1">
      <alignment horizontal="center" vertical="center" wrapText="1"/>
    </xf>
    <xf numFmtId="0" fontId="3" fillId="0" borderId="42" xfId="3" applyBorder="1" applyProtection="1"/>
    <xf numFmtId="0" fontId="34" fillId="14" borderId="43" xfId="3" applyFont="1" applyFill="1" applyBorder="1" applyAlignment="1" applyProtection="1">
      <alignment horizontal="center" vertical="center" wrapText="1"/>
    </xf>
    <xf numFmtId="0" fontId="34" fillId="14" borderId="44" xfId="3" applyFont="1" applyFill="1" applyBorder="1" applyAlignment="1" applyProtection="1">
      <alignment horizontal="center" vertical="center" wrapText="1"/>
    </xf>
    <xf numFmtId="0" fontId="34" fillId="14" borderId="45" xfId="3" applyFont="1" applyFill="1" applyBorder="1" applyAlignment="1" applyProtection="1">
      <alignment horizontal="center" vertical="center" wrapText="1"/>
    </xf>
    <xf numFmtId="0" fontId="34" fillId="14" borderId="46" xfId="3" applyFont="1" applyFill="1" applyBorder="1" applyAlignment="1" applyProtection="1">
      <alignment horizontal="center" vertical="center" wrapText="1"/>
    </xf>
    <xf numFmtId="0" fontId="34" fillId="14" borderId="47" xfId="3" applyFont="1" applyFill="1" applyBorder="1" applyAlignment="1" applyProtection="1">
      <alignment horizontal="center" vertical="center" wrapText="1"/>
    </xf>
    <xf numFmtId="0" fontId="34" fillId="14" borderId="48" xfId="3" applyFont="1" applyFill="1" applyBorder="1" applyAlignment="1" applyProtection="1">
      <alignment horizontal="center" vertical="center" wrapText="1"/>
    </xf>
    <xf numFmtId="0" fontId="34" fillId="14" borderId="49" xfId="3" applyFont="1" applyFill="1" applyBorder="1" applyAlignment="1" applyProtection="1">
      <alignment horizontal="center" vertical="center" wrapText="1"/>
    </xf>
    <xf numFmtId="0" fontId="34" fillId="14" borderId="50" xfId="3" applyFont="1" applyFill="1" applyBorder="1" applyAlignment="1" applyProtection="1">
      <alignment horizontal="center" vertical="center" wrapText="1"/>
    </xf>
    <xf numFmtId="0" fontId="34" fillId="14" borderId="54" xfId="3" applyFont="1" applyFill="1" applyBorder="1" applyAlignment="1" applyProtection="1">
      <alignment horizontal="center" vertical="center" wrapText="1"/>
    </xf>
    <xf numFmtId="0" fontId="3" fillId="0" borderId="55" xfId="3" applyBorder="1" applyProtection="1"/>
    <xf numFmtId="0" fontId="56" fillId="19" borderId="0" xfId="0" applyFont="1" applyFill="1" applyBorder="1" applyAlignment="1" applyProtection="1">
      <alignment vertical="center"/>
      <protection hidden="1"/>
    </xf>
    <xf numFmtId="1" fontId="36" fillId="14" borderId="19" xfId="2" applyNumberFormat="1" applyFont="1" applyFill="1" applyBorder="1" applyAlignment="1" applyProtection="1">
      <alignment horizontal="center" vertical="center" wrapText="1"/>
      <protection hidden="1"/>
    </xf>
    <xf numFmtId="164" fontId="4" fillId="9" borderId="20" xfId="0" applyNumberFormat="1" applyFont="1" applyFill="1" applyBorder="1" applyAlignment="1" applyProtection="1">
      <alignment horizontal="center" vertical="center" wrapText="1"/>
      <protection hidden="1"/>
    </xf>
    <xf numFmtId="0" fontId="64" fillId="0" borderId="0" xfId="0" applyFont="1" applyProtection="1">
      <protection hidden="1"/>
    </xf>
    <xf numFmtId="0" fontId="2" fillId="0" borderId="0" xfId="3" applyFont="1" applyAlignment="1">
      <alignment horizontal="left"/>
    </xf>
    <xf numFmtId="0" fontId="19" fillId="0" borderId="0" xfId="4" applyFont="1" applyAlignment="1" applyProtection="1">
      <alignment vertical="center" wrapText="1"/>
    </xf>
    <xf numFmtId="0" fontId="21" fillId="0" borderId="0" xfId="4" applyFont="1" applyAlignment="1" applyProtection="1">
      <alignment vertical="center"/>
    </xf>
    <xf numFmtId="0" fontId="19" fillId="0" borderId="0" xfId="5" applyAlignment="1" applyProtection="1">
      <alignment vertical="center"/>
    </xf>
    <xf numFmtId="0" fontId="20" fillId="0" borderId="0" xfId="5" applyFont="1" applyAlignment="1" applyProtection="1">
      <alignment vertical="center"/>
    </xf>
    <xf numFmtId="166" fontId="23" fillId="0" borderId="0" xfId="3" applyNumberFormat="1" applyFont="1" applyAlignment="1" applyProtection="1">
      <alignment horizontal="center" vertical="center" wrapText="1"/>
    </xf>
    <xf numFmtId="0" fontId="24" fillId="0" borderId="0" xfId="7" applyFont="1" applyProtection="1"/>
    <xf numFmtId="0" fontId="16" fillId="0" borderId="0" xfId="3" applyFont="1" applyAlignment="1" applyProtection="1">
      <alignment vertical="top"/>
    </xf>
    <xf numFmtId="0" fontId="19" fillId="0" borderId="0" xfId="5" applyAlignment="1" applyProtection="1">
      <alignment vertical="center" wrapText="1"/>
    </xf>
    <xf numFmtId="0" fontId="25" fillId="0" borderId="0" xfId="8" applyBorder="1" applyAlignment="1" applyProtection="1">
      <alignment horizontal="left" vertical="center"/>
    </xf>
    <xf numFmtId="0" fontId="16" fillId="0" borderId="0" xfId="3" applyFont="1" applyBorder="1" applyAlignment="1" applyProtection="1">
      <alignment vertical="top"/>
    </xf>
    <xf numFmtId="166" fontId="23" fillId="0" borderId="0" xfId="3" applyNumberFormat="1" applyFont="1" applyAlignment="1" applyProtection="1">
      <alignment horizontal="right" vertical="center" wrapText="1"/>
    </xf>
    <xf numFmtId="0" fontId="26" fillId="0" borderId="0" xfId="7" applyFont="1" applyProtection="1"/>
    <xf numFmtId="0" fontId="27" fillId="0" borderId="0" xfId="5" applyFont="1" applyAlignment="1" applyProtection="1">
      <alignment horizontal="center" vertical="center"/>
    </xf>
    <xf numFmtId="0" fontId="19" fillId="0" borderId="0" xfId="5" applyAlignment="1" applyProtection="1">
      <alignment horizontal="right" vertical="top"/>
    </xf>
    <xf numFmtId="0" fontId="26" fillId="0" borderId="0" xfId="7" applyFont="1" applyAlignment="1" applyProtection="1">
      <alignment horizontal="right" indent="1"/>
    </xf>
    <xf numFmtId="0" fontId="26" fillId="0" borderId="0" xfId="7" applyFont="1" applyAlignment="1" applyProtection="1">
      <alignment horizontal="center"/>
    </xf>
    <xf numFmtId="0" fontId="19" fillId="0" borderId="0" xfId="5" applyAlignment="1" applyProtection="1">
      <alignment horizontal="right" vertical="center" indent="1"/>
    </xf>
    <xf numFmtId="0" fontId="19" fillId="0" borderId="24" xfId="5" applyBorder="1" applyAlignment="1" applyProtection="1">
      <alignment horizontal="center" vertical="center"/>
    </xf>
    <xf numFmtId="0" fontId="19" fillId="0" borderId="0" xfId="5" quotePrefix="1" applyAlignment="1" applyProtection="1">
      <alignment vertical="center"/>
    </xf>
    <xf numFmtId="0" fontId="19" fillId="0" borderId="0" xfId="5" applyAlignment="1" applyProtection="1">
      <alignment horizontal="left" vertical="center" indent="1"/>
    </xf>
    <xf numFmtId="0" fontId="29" fillId="0" borderId="0" xfId="5" applyFont="1" applyAlignment="1" applyProtection="1">
      <alignment horizontal="right" vertical="center" indent="1"/>
    </xf>
    <xf numFmtId="0" fontId="25" fillId="0" borderId="0" xfId="8" applyBorder="1" applyAlignment="1" applyProtection="1">
      <alignment vertical="center"/>
    </xf>
    <xf numFmtId="0" fontId="20" fillId="0" borderId="0" xfId="7" applyFont="1" applyProtection="1"/>
    <xf numFmtId="0" fontId="19" fillId="0" borderId="29" xfId="5" applyBorder="1" applyAlignment="1" applyProtection="1">
      <alignment vertical="center"/>
    </xf>
    <xf numFmtId="1" fontId="28" fillId="0" borderId="24" xfId="3" applyNumberFormat="1" applyFont="1" applyBorder="1" applyAlignment="1" applyProtection="1">
      <alignment horizontal="left"/>
    </xf>
    <xf numFmtId="0" fontId="25" fillId="0" borderId="30" xfId="7" applyFont="1" applyBorder="1" applyAlignment="1" applyProtection="1">
      <alignment horizontal="center" vertical="center"/>
    </xf>
    <xf numFmtId="0" fontId="28" fillId="0" borderId="31" xfId="3" applyFont="1" applyBorder="1" applyAlignment="1" applyProtection="1">
      <alignment horizontal="left"/>
    </xf>
    <xf numFmtId="0" fontId="28" fillId="0" borderId="24" xfId="3" applyFont="1" applyBorder="1" applyAlignment="1" applyProtection="1">
      <alignment horizontal="left"/>
    </xf>
    <xf numFmtId="0" fontId="19" fillId="0" borderId="24" xfId="5" applyBorder="1" applyAlignment="1" applyProtection="1">
      <alignment vertical="center"/>
    </xf>
    <xf numFmtId="1" fontId="19" fillId="0" borderId="24" xfId="5" applyNumberFormat="1" applyBorder="1" applyAlignment="1" applyProtection="1">
      <alignment vertical="center"/>
    </xf>
    <xf numFmtId="166" fontId="28" fillId="0" borderId="24" xfId="3" applyNumberFormat="1" applyFont="1" applyBorder="1" applyAlignment="1" applyProtection="1">
      <alignment horizontal="left"/>
    </xf>
    <xf numFmtId="1" fontId="29" fillId="0" borderId="24" xfId="5" applyNumberFormat="1" applyFont="1" applyBorder="1" applyAlignment="1" applyProtection="1">
      <alignment vertical="center"/>
    </xf>
    <xf numFmtId="169" fontId="19" fillId="0" borderId="24" xfId="9" applyNumberFormat="1" applyFont="1" applyFill="1" applyBorder="1" applyAlignment="1" applyProtection="1">
      <alignment vertical="center"/>
    </xf>
    <xf numFmtId="169" fontId="19" fillId="0" borderId="24" xfId="9" applyNumberFormat="1" applyFont="1" applyFill="1" applyBorder="1" applyAlignment="1" applyProtection="1">
      <alignment horizontal="left" vertical="center" indent="3"/>
    </xf>
    <xf numFmtId="166" fontId="19" fillId="0" borderId="24" xfId="5" applyNumberFormat="1" applyBorder="1" applyAlignment="1" applyProtection="1">
      <alignment vertical="center"/>
    </xf>
    <xf numFmtId="0" fontId="29" fillId="0" borderId="24" xfId="5" applyFont="1" applyBorder="1" applyAlignment="1" applyProtection="1">
      <alignment vertical="center"/>
    </xf>
    <xf numFmtId="0" fontId="19" fillId="0" borderId="0" xfId="5" applyAlignment="1" applyProtection="1">
      <alignment horizontal="center" vertical="center"/>
    </xf>
    <xf numFmtId="0" fontId="26" fillId="0" borderId="24" xfId="7" applyFont="1" applyBorder="1" applyAlignment="1" applyProtection="1">
      <alignment vertical="center"/>
    </xf>
    <xf numFmtId="169" fontId="19" fillId="0" borderId="24" xfId="5" applyNumberFormat="1" applyBorder="1" applyAlignment="1" applyProtection="1">
      <alignment vertical="center"/>
    </xf>
    <xf numFmtId="0" fontId="19" fillId="0" borderId="24" xfId="5" applyBorder="1" applyAlignment="1" applyProtection="1">
      <alignment vertical="center" wrapText="1"/>
    </xf>
    <xf numFmtId="2" fontId="19" fillId="0" borderId="24" xfId="5" applyNumberFormat="1" applyBorder="1" applyAlignment="1" applyProtection="1">
      <alignment vertical="center"/>
    </xf>
    <xf numFmtId="0" fontId="19" fillId="0" borderId="24" xfId="5" applyBorder="1" applyAlignment="1" applyProtection="1">
      <alignment horizontal="right" vertical="center"/>
    </xf>
    <xf numFmtId="166" fontId="23" fillId="0" borderId="32" xfId="3" applyNumberFormat="1" applyFont="1" applyBorder="1" applyAlignment="1" applyProtection="1">
      <alignment horizontal="center" vertical="center" wrapText="1"/>
    </xf>
    <xf numFmtId="166" fontId="23" fillId="0" borderId="33" xfId="3" applyNumberFormat="1" applyFont="1" applyBorder="1" applyAlignment="1" applyProtection="1">
      <alignment horizontal="center" vertical="center" wrapText="1"/>
    </xf>
    <xf numFmtId="166" fontId="23" fillId="0" borderId="34" xfId="3" applyNumberFormat="1" applyFont="1" applyBorder="1" applyAlignment="1" applyProtection="1">
      <alignment horizontal="center" vertical="center" wrapText="1"/>
    </xf>
    <xf numFmtId="0" fontId="23" fillId="0" borderId="24" xfId="3" applyFont="1" applyBorder="1" applyAlignment="1" applyProtection="1">
      <alignment vertical="center" wrapText="1"/>
    </xf>
    <xf numFmtId="1" fontId="19" fillId="0" borderId="0" xfId="5" applyNumberFormat="1" applyAlignment="1" applyProtection="1">
      <alignment vertical="center"/>
    </xf>
    <xf numFmtId="0" fontId="23" fillId="0" borderId="24" xfId="3" applyFont="1" applyBorder="1" applyAlignment="1" applyProtection="1">
      <alignment horizontal="right" vertical="center" wrapText="1"/>
    </xf>
    <xf numFmtId="2" fontId="23" fillId="0" borderId="24" xfId="3" applyNumberFormat="1" applyFont="1" applyBorder="1" applyAlignment="1" applyProtection="1">
      <alignment horizontal="right" vertical="center" wrapText="1"/>
    </xf>
    <xf numFmtId="166" fontId="23" fillId="0" borderId="24" xfId="3" applyNumberFormat="1" applyFont="1" applyBorder="1" applyAlignment="1" applyProtection="1">
      <alignment horizontal="right" vertical="center" wrapText="1"/>
    </xf>
    <xf numFmtId="43" fontId="19" fillId="0" borderId="24" xfId="5" applyNumberFormat="1" applyBorder="1" applyAlignment="1" applyProtection="1">
      <alignment vertical="center"/>
    </xf>
    <xf numFmtId="2" fontId="29" fillId="22" borderId="24" xfId="5" applyNumberFormat="1" applyFont="1" applyFill="1" applyBorder="1" applyAlignment="1" applyProtection="1">
      <alignment vertical="center"/>
    </xf>
    <xf numFmtId="166" fontId="10" fillId="0" borderId="24" xfId="3" applyNumberFormat="1" applyFont="1" applyBorder="1" applyProtection="1"/>
    <xf numFmtId="2" fontId="10" fillId="0" borderId="24" xfId="3" applyNumberFormat="1" applyFont="1" applyBorder="1" applyProtection="1"/>
    <xf numFmtId="166" fontId="29" fillId="19" borderId="24" xfId="5" applyNumberFormat="1" applyFont="1" applyFill="1" applyBorder="1" applyAlignment="1" applyProtection="1">
      <alignment vertical="center"/>
    </xf>
    <xf numFmtId="0" fontId="19" fillId="19" borderId="24" xfId="5" applyFill="1" applyBorder="1" applyAlignment="1" applyProtection="1">
      <alignment vertical="center"/>
    </xf>
    <xf numFmtId="1" fontId="29" fillId="22" borderId="24" xfId="5" applyNumberFormat="1" applyFont="1" applyFill="1" applyBorder="1" applyAlignment="1" applyProtection="1">
      <alignment vertical="center"/>
    </xf>
    <xf numFmtId="167" fontId="19" fillId="0" borderId="0" xfId="5" applyNumberFormat="1" applyAlignment="1" applyProtection="1">
      <alignment vertical="center"/>
    </xf>
    <xf numFmtId="0" fontId="25" fillId="0" borderId="24" xfId="8" applyBorder="1" applyAlignment="1" applyProtection="1">
      <alignment vertical="center"/>
      <protection locked="0"/>
    </xf>
    <xf numFmtId="0" fontId="4" fillId="4" borderId="13" xfId="3" applyFont="1" applyFill="1" applyBorder="1" applyAlignment="1" applyProtection="1">
      <alignment vertical="center"/>
    </xf>
    <xf numFmtId="0" fontId="4" fillId="4" borderId="0" xfId="3" applyFont="1" applyFill="1" applyAlignment="1" applyProtection="1">
      <alignment vertical="center"/>
    </xf>
    <xf numFmtId="0" fontId="4" fillId="4" borderId="9" xfId="3" applyFont="1" applyFill="1" applyBorder="1" applyAlignment="1" applyProtection="1">
      <alignment vertical="center"/>
    </xf>
    <xf numFmtId="0" fontId="4" fillId="24" borderId="14" xfId="3" applyFont="1" applyFill="1" applyBorder="1" applyAlignment="1" applyProtection="1">
      <alignment vertical="center"/>
    </xf>
    <xf numFmtId="0" fontId="21" fillId="0" borderId="0" xfId="3" applyFont="1" applyAlignment="1" applyProtection="1">
      <alignment horizontal="center" vertical="center"/>
    </xf>
    <xf numFmtId="0" fontId="4" fillId="5" borderId="14" xfId="3" applyFont="1" applyFill="1" applyBorder="1" applyAlignment="1" applyProtection="1">
      <alignment vertical="center"/>
    </xf>
    <xf numFmtId="0" fontId="4" fillId="5" borderId="15" xfId="3" applyFont="1" applyFill="1" applyBorder="1" applyAlignment="1" applyProtection="1">
      <alignment vertical="center"/>
    </xf>
    <xf numFmtId="0" fontId="4" fillId="24" borderId="17" xfId="3" applyFont="1" applyFill="1" applyBorder="1" applyAlignment="1" applyProtection="1">
      <alignment horizontal="center"/>
    </xf>
    <xf numFmtId="0" fontId="2" fillId="25" borderId="38" xfId="3" applyFont="1" applyFill="1" applyBorder="1" applyAlignment="1" applyProtection="1">
      <alignment horizontal="center" vertical="center" wrapText="1"/>
    </xf>
    <xf numFmtId="0" fontId="4" fillId="9" borderId="38" xfId="3" applyFont="1" applyFill="1" applyBorder="1" applyAlignment="1" applyProtection="1">
      <alignment horizontal="center" vertical="center" wrapText="1"/>
    </xf>
    <xf numFmtId="0" fontId="19" fillId="25" borderId="38" xfId="3" applyFont="1" applyFill="1" applyBorder="1" applyAlignment="1" applyProtection="1">
      <alignment horizontal="center" vertical="center" wrapText="1"/>
    </xf>
    <xf numFmtId="3" fontId="8" fillId="4" borderId="39" xfId="3" applyNumberFormat="1" applyFont="1" applyFill="1" applyBorder="1" applyAlignment="1" applyProtection="1">
      <alignment horizontal="center" vertical="center"/>
    </xf>
    <xf numFmtId="0" fontId="28" fillId="25" borderId="40" xfId="0" applyFont="1" applyFill="1" applyBorder="1" applyAlignment="1" applyProtection="1">
      <alignment horizontal="center" vertical="center" wrapText="1"/>
    </xf>
    <xf numFmtId="0" fontId="28" fillId="25" borderId="40" xfId="3" applyFont="1" applyFill="1" applyBorder="1" applyAlignment="1" applyProtection="1">
      <alignment horizontal="center" vertical="center" wrapText="1"/>
    </xf>
    <xf numFmtId="164" fontId="31" fillId="16" borderId="40" xfId="3" applyNumberFormat="1" applyFont="1" applyFill="1" applyBorder="1" applyAlignment="1" applyProtection="1">
      <alignment horizontal="center" vertical="center"/>
    </xf>
    <xf numFmtId="3" fontId="32" fillId="10" borderId="40" xfId="3" applyNumberFormat="1" applyFont="1" applyFill="1" applyBorder="1" applyAlignment="1" applyProtection="1">
      <alignment horizontal="center" vertical="center"/>
    </xf>
    <xf numFmtId="170" fontId="2" fillId="25" borderId="40" xfId="10" applyNumberFormat="1" applyFont="1" applyFill="1" applyBorder="1" applyAlignment="1" applyProtection="1">
      <alignment horizontal="center" vertical="center"/>
    </xf>
    <xf numFmtId="3" fontId="2" fillId="25" borderId="40" xfId="3" applyNumberFormat="1" applyFont="1" applyFill="1" applyBorder="1" applyAlignment="1" applyProtection="1">
      <alignment horizontal="center" vertical="center"/>
    </xf>
    <xf numFmtId="166" fontId="2" fillId="25" borderId="41" xfId="1" applyNumberFormat="1" applyFont="1" applyFill="1" applyBorder="1" applyAlignment="1" applyProtection="1">
      <alignment horizontal="center" vertical="center"/>
    </xf>
    <xf numFmtId="3" fontId="2" fillId="17" borderId="1" xfId="3" applyNumberFormat="1" applyFont="1" applyFill="1" applyBorder="1" applyAlignment="1" applyProtection="1">
      <alignment horizontal="left" vertical="center"/>
    </xf>
    <xf numFmtId="0" fontId="33" fillId="14" borderId="85" xfId="3" applyFont="1" applyFill="1" applyBorder="1" applyAlignment="1" applyProtection="1">
      <alignment horizontal="center" vertical="center" wrapText="1"/>
    </xf>
    <xf numFmtId="3" fontId="8" fillId="4" borderId="12" xfId="3" applyNumberFormat="1" applyFont="1" applyFill="1" applyBorder="1" applyAlignment="1" applyProtection="1">
      <alignment horizontal="center" vertical="center"/>
    </xf>
    <xf numFmtId="0" fontId="28" fillId="25" borderId="1" xfId="3" applyFont="1" applyFill="1" applyBorder="1" applyAlignment="1" applyProtection="1">
      <alignment horizontal="center" vertical="center" wrapText="1"/>
    </xf>
    <xf numFmtId="0" fontId="28" fillId="25" borderId="3" xfId="3" applyFont="1" applyFill="1" applyBorder="1" applyAlignment="1" applyProtection="1">
      <alignment horizontal="center" vertical="center" wrapText="1"/>
    </xf>
    <xf numFmtId="164" fontId="31" fillId="16" borderId="3" xfId="3" applyNumberFormat="1" applyFont="1" applyFill="1" applyBorder="1" applyAlignment="1" applyProtection="1">
      <alignment horizontal="center" vertical="center"/>
    </xf>
    <xf numFmtId="3" fontId="32" fillId="10" borderId="3" xfId="3" applyNumberFormat="1" applyFont="1" applyFill="1" applyBorder="1" applyAlignment="1" applyProtection="1">
      <alignment horizontal="center" vertical="center"/>
    </xf>
    <xf numFmtId="3" fontId="2" fillId="17" borderId="3" xfId="3" applyNumberFormat="1" applyFont="1" applyFill="1" applyBorder="1" applyAlignment="1" applyProtection="1">
      <alignment horizontal="left" vertical="center"/>
    </xf>
    <xf numFmtId="0" fontId="33" fillId="14" borderId="72" xfId="3" applyFont="1" applyFill="1" applyBorder="1" applyAlignment="1" applyProtection="1">
      <alignment horizontal="center" vertical="center" wrapText="1"/>
    </xf>
    <xf numFmtId="0" fontId="33" fillId="14" borderId="86" xfId="3" applyFont="1" applyFill="1" applyBorder="1" applyAlignment="1" applyProtection="1">
      <alignment horizontal="center" vertical="center" wrapText="1"/>
    </xf>
    <xf numFmtId="3" fontId="8" fillId="4" borderId="51" xfId="3" applyNumberFormat="1" applyFont="1" applyFill="1" applyBorder="1" applyAlignment="1" applyProtection="1">
      <alignment horizontal="center" vertical="center"/>
    </xf>
    <xf numFmtId="0" fontId="28" fillId="25" borderId="52" xfId="3" applyFont="1" applyFill="1" applyBorder="1" applyAlignment="1" applyProtection="1">
      <alignment horizontal="center" vertical="center" wrapText="1"/>
    </xf>
    <xf numFmtId="0" fontId="28" fillId="25" borderId="53" xfId="3" applyFont="1" applyFill="1" applyBorder="1" applyAlignment="1" applyProtection="1">
      <alignment horizontal="center" vertical="center" wrapText="1"/>
    </xf>
    <xf numFmtId="164" fontId="31" fillId="16" borderId="53" xfId="3" applyNumberFormat="1" applyFont="1" applyFill="1" applyBorder="1" applyAlignment="1" applyProtection="1">
      <alignment horizontal="center" vertical="center"/>
    </xf>
    <xf numFmtId="3" fontId="32" fillId="10" borderId="53" xfId="3" applyNumberFormat="1" applyFont="1" applyFill="1" applyBorder="1" applyAlignment="1" applyProtection="1">
      <alignment horizontal="center" vertical="center"/>
    </xf>
    <xf numFmtId="0" fontId="10" fillId="19" borderId="0" xfId="14" applyFill="1" applyProtection="1">
      <protection hidden="1"/>
    </xf>
    <xf numFmtId="0" fontId="67" fillId="0" borderId="0" xfId="3" applyFont="1" applyAlignment="1" applyProtection="1">
      <alignment vertical="top"/>
    </xf>
    <xf numFmtId="0" fontId="63" fillId="0" borderId="0" xfId="3" applyFont="1" applyAlignment="1" applyProtection="1">
      <alignment vertical="top"/>
    </xf>
    <xf numFmtId="0" fontId="3" fillId="0" borderId="81" xfId="0" applyFont="1" applyFill="1" applyBorder="1" applyAlignment="1" applyProtection="1">
      <alignment vertical="center"/>
      <protection hidden="1"/>
    </xf>
    <xf numFmtId="0" fontId="62" fillId="0" borderId="5" xfId="0" applyFont="1" applyFill="1" applyBorder="1" applyAlignment="1" applyProtection="1">
      <alignment horizontal="right" vertical="center"/>
      <protection hidden="1"/>
    </xf>
    <xf numFmtId="0" fontId="29" fillId="0" borderId="24" xfId="5" applyFont="1" applyBorder="1" applyAlignment="1" applyProtection="1">
      <alignment vertical="center" wrapText="1"/>
    </xf>
    <xf numFmtId="0" fontId="29" fillId="0" borderId="0" xfId="5" applyFont="1" applyFill="1" applyAlignment="1" applyProtection="1">
      <alignment vertical="center"/>
    </xf>
    <xf numFmtId="0" fontId="19" fillId="0" borderId="0" xfId="5" applyAlignment="1">
      <alignment vertical="center"/>
    </xf>
    <xf numFmtId="0" fontId="26" fillId="0" borderId="0" xfId="7" applyFont="1"/>
    <xf numFmtId="0" fontId="21" fillId="0" borderId="0" xfId="16" applyFont="1" applyAlignment="1" applyProtection="1">
      <alignment vertical="center"/>
      <protection hidden="1"/>
    </xf>
    <xf numFmtId="0" fontId="19" fillId="19" borderId="0" xfId="16" applyFont="1" applyFill="1" applyAlignment="1" applyProtection="1">
      <alignment vertical="center" wrapText="1"/>
      <protection hidden="1"/>
    </xf>
    <xf numFmtId="0" fontId="68" fillId="0" borderId="0" xfId="16" applyFont="1" applyAlignment="1" applyProtection="1">
      <alignment vertical="center"/>
      <protection hidden="1"/>
    </xf>
    <xf numFmtId="0" fontId="49" fillId="0" borderId="0" xfId="16" applyFont="1" applyAlignment="1" applyProtection="1">
      <alignment vertical="center"/>
      <protection hidden="1"/>
    </xf>
    <xf numFmtId="0" fontId="26" fillId="0" borderId="0" xfId="16" applyFont="1" applyAlignment="1" applyProtection="1">
      <alignment horizontal="left" vertical="center"/>
      <protection hidden="1"/>
    </xf>
    <xf numFmtId="0" fontId="21" fillId="0" borderId="0" xfId="16" applyFont="1" applyAlignment="1" applyProtection="1">
      <alignment horizontal="right" vertical="center"/>
      <protection hidden="1"/>
    </xf>
    <xf numFmtId="0" fontId="29" fillId="0" borderId="0" xfId="16" applyFont="1" applyAlignment="1" applyProtection="1">
      <alignment horizontal="center" vertical="center"/>
      <protection hidden="1"/>
    </xf>
    <xf numFmtId="0" fontId="29" fillId="0" borderId="0" xfId="16" applyFont="1" applyAlignment="1" applyProtection="1">
      <alignment vertical="center"/>
      <protection hidden="1"/>
    </xf>
    <xf numFmtId="0" fontId="26" fillId="0" borderId="0" xfId="16" applyFont="1" applyAlignment="1" applyProtection="1">
      <alignment horizontal="right" vertical="center"/>
      <protection hidden="1"/>
    </xf>
    <xf numFmtId="0" fontId="67" fillId="0" borderId="0" xfId="16" applyFont="1" applyAlignment="1" applyProtection="1">
      <alignment vertical="center"/>
      <protection hidden="1"/>
    </xf>
    <xf numFmtId="0" fontId="71" fillId="0" borderId="0" xfId="16" applyFont="1" applyAlignment="1" applyProtection="1">
      <alignment horizontal="right" vertical="center"/>
      <protection hidden="1"/>
    </xf>
    <xf numFmtId="0" fontId="21" fillId="0" borderId="0" xfId="0" applyFont="1" applyAlignment="1" applyProtection="1">
      <alignment vertical="center"/>
      <protection hidden="1"/>
    </xf>
    <xf numFmtId="0" fontId="21" fillId="0" borderId="0" xfId="0" applyFont="1" applyAlignment="1" applyProtection="1">
      <alignment vertical="center" wrapText="1"/>
      <protection hidden="1"/>
    </xf>
    <xf numFmtId="164" fontId="21" fillId="0" borderId="0" xfId="0" applyNumberFormat="1" applyFont="1" applyAlignment="1" applyProtection="1">
      <alignment vertical="center" wrapText="1"/>
      <protection hidden="1"/>
    </xf>
    <xf numFmtId="0" fontId="21" fillId="0" borderId="0" xfId="0" applyFont="1" applyAlignment="1" applyProtection="1">
      <alignment horizontal="right" vertical="center" wrapText="1"/>
      <protection hidden="1"/>
    </xf>
    <xf numFmtId="0" fontId="21" fillId="0" borderId="0" xfId="0" applyFont="1" applyProtection="1">
      <protection hidden="1"/>
    </xf>
    <xf numFmtId="0" fontId="21" fillId="19" borderId="0" xfId="0" applyFont="1" applyFill="1" applyProtection="1">
      <protection hidden="1"/>
    </xf>
    <xf numFmtId="0" fontId="21" fillId="0" borderId="0" xfId="0" applyFont="1" applyAlignment="1" applyProtection="1">
      <alignment horizontal="left" vertical="center" wrapText="1"/>
      <protection hidden="1"/>
    </xf>
    <xf numFmtId="0" fontId="21" fillId="0" borderId="0" xfId="0" applyFont="1" applyAlignment="1" applyProtection="1">
      <alignment horizontal="center" vertical="center"/>
      <protection hidden="1"/>
    </xf>
    <xf numFmtId="1" fontId="19" fillId="19" borderId="0" xfId="16" applyNumberFormat="1" applyFont="1" applyFill="1" applyAlignment="1" applyProtection="1">
      <alignment horizontal="center" vertical="center"/>
      <protection hidden="1"/>
    </xf>
    <xf numFmtId="0" fontId="19" fillId="0" borderId="0" xfId="16" applyFont="1" applyAlignment="1" applyProtection="1">
      <alignment vertical="center"/>
      <protection hidden="1"/>
    </xf>
    <xf numFmtId="1" fontId="19" fillId="0" borderId="0" xfId="16" applyNumberFormat="1" applyFont="1" applyAlignment="1" applyProtection="1">
      <alignment horizontal="center" vertical="center"/>
      <protection hidden="1"/>
    </xf>
    <xf numFmtId="0" fontId="40" fillId="0" borderId="0" xfId="16" applyFont="1" applyAlignment="1" applyProtection="1">
      <alignment horizontal="left" vertical="center"/>
      <protection hidden="1"/>
    </xf>
    <xf numFmtId="0" fontId="19" fillId="0" borderId="0" xfId="16" applyFont="1" applyAlignment="1" applyProtection="1">
      <alignment horizontal="left" vertical="center"/>
      <protection hidden="1"/>
    </xf>
    <xf numFmtId="0" fontId="19" fillId="0" borderId="0" xfId="16" applyFont="1" applyAlignment="1" applyProtection="1">
      <alignment horizontal="center" vertical="center"/>
      <protection hidden="1"/>
    </xf>
    <xf numFmtId="0" fontId="19" fillId="19" borderId="0" xfId="16" applyFont="1" applyFill="1" applyAlignment="1" applyProtection="1">
      <alignment horizontal="center" vertical="center"/>
      <protection hidden="1"/>
    </xf>
    <xf numFmtId="0" fontId="21" fillId="0" borderId="0" xfId="16" applyFont="1" applyAlignment="1" applyProtection="1">
      <alignment vertical="center" wrapText="1"/>
      <protection hidden="1"/>
    </xf>
    <xf numFmtId="0" fontId="21" fillId="0" borderId="0" xfId="16" applyFont="1" applyAlignment="1" applyProtection="1">
      <alignment horizontal="left" vertical="top" wrapText="1"/>
      <protection hidden="1"/>
    </xf>
    <xf numFmtId="0" fontId="21" fillId="0" borderId="0" xfId="16" applyFont="1" applyAlignment="1" applyProtection="1">
      <alignment vertical="top" wrapText="1"/>
      <protection hidden="1"/>
    </xf>
    <xf numFmtId="169" fontId="21" fillId="0" borderId="0" xfId="15" applyNumberFormat="1" applyFont="1" applyFill="1" applyBorder="1" applyAlignment="1" applyProtection="1">
      <alignment vertical="center"/>
      <protection hidden="1"/>
    </xf>
    <xf numFmtId="0" fontId="21" fillId="0" borderId="0" xfId="0" applyFont="1" applyAlignment="1" applyProtection="1">
      <alignment horizontal="center" vertical="center" wrapText="1"/>
      <protection hidden="1"/>
    </xf>
    <xf numFmtId="0" fontId="3" fillId="0" borderId="0" xfId="16" applyFont="1" applyAlignment="1" applyProtection="1">
      <alignment vertical="center" wrapText="1"/>
      <protection hidden="1"/>
    </xf>
    <xf numFmtId="0" fontId="21" fillId="0" borderId="0" xfId="16" applyFont="1" applyAlignment="1" applyProtection="1">
      <alignment horizontal="justify" vertical="center" wrapText="1"/>
      <protection hidden="1"/>
    </xf>
    <xf numFmtId="0" fontId="72" fillId="0" borderId="0" xfId="16" applyFont="1" applyAlignment="1" applyProtection="1">
      <alignment horizontal="left" vertical="center" wrapText="1"/>
      <protection hidden="1"/>
    </xf>
    <xf numFmtId="0" fontId="47" fillId="0" borderId="0" xfId="16" applyFont="1" applyAlignment="1" applyProtection="1">
      <alignment horizontal="right" vertical="center"/>
      <protection hidden="1"/>
    </xf>
    <xf numFmtId="0" fontId="26" fillId="0" borderId="0" xfId="16" applyFont="1" applyAlignment="1" applyProtection="1">
      <alignment horizontal="left" vertical="top" wrapText="1"/>
      <protection hidden="1"/>
    </xf>
    <xf numFmtId="0" fontId="73" fillId="0" borderId="0" xfId="19" applyFont="1" applyAlignment="1" applyProtection="1">
      <alignment horizontal="center" vertical="center"/>
      <protection hidden="1"/>
    </xf>
    <xf numFmtId="0" fontId="12" fillId="0" borderId="0" xfId="19" applyFont="1" applyAlignment="1" applyProtection="1">
      <alignment horizontal="center" vertical="center"/>
      <protection hidden="1"/>
    </xf>
    <xf numFmtId="0" fontId="26" fillId="0" borderId="0" xfId="19" applyFont="1" applyAlignment="1" applyProtection="1">
      <alignment horizontal="center" vertical="center"/>
      <protection hidden="1"/>
    </xf>
    <xf numFmtId="174" fontId="21" fillId="0" borderId="0" xfId="16" applyNumberFormat="1" applyFont="1" applyAlignment="1" applyProtection="1">
      <alignment vertical="center"/>
      <protection hidden="1"/>
    </xf>
    <xf numFmtId="0" fontId="26" fillId="0" borderId="0" xfId="16" applyFont="1" applyAlignment="1" applyProtection="1">
      <alignment horizontal="center" vertical="center" wrapText="1"/>
      <protection hidden="1"/>
    </xf>
    <xf numFmtId="0" fontId="19" fillId="0" borderId="0" xfId="16" applyFont="1" applyAlignment="1" applyProtection="1">
      <alignment vertical="top" wrapText="1"/>
      <protection hidden="1"/>
    </xf>
    <xf numFmtId="175" fontId="12" fillId="14" borderId="19" xfId="2" applyNumberFormat="1" applyFont="1" applyFill="1" applyBorder="1" applyAlignment="1" applyProtection="1">
      <alignment horizontal="center" vertical="center" wrapText="1"/>
      <protection hidden="1"/>
    </xf>
    <xf numFmtId="0" fontId="3" fillId="8" borderId="5" xfId="3" applyFill="1" applyBorder="1"/>
    <xf numFmtId="0" fontId="3" fillId="8" borderId="1" xfId="3" applyFill="1" applyBorder="1"/>
    <xf numFmtId="0" fontId="3" fillId="16" borderId="1" xfId="3" applyFill="1" applyBorder="1"/>
    <xf numFmtId="0" fontId="15" fillId="16" borderId="1" xfId="3" applyFont="1" applyFill="1" applyBorder="1"/>
    <xf numFmtId="0" fontId="3" fillId="16" borderId="2" xfId="3" applyFill="1" applyBorder="1"/>
    <xf numFmtId="0" fontId="3" fillId="0" borderId="1" xfId="3" applyFill="1" applyBorder="1"/>
    <xf numFmtId="0" fontId="3" fillId="0" borderId="6" xfId="3" applyFill="1" applyBorder="1"/>
    <xf numFmtId="0" fontId="3" fillId="0" borderId="3" xfId="3" applyFill="1" applyBorder="1"/>
    <xf numFmtId="0" fontId="15" fillId="0" borderId="3" xfId="3" applyFont="1" applyFill="1" applyBorder="1"/>
    <xf numFmtId="0" fontId="3" fillId="0" borderId="4" xfId="3" applyFill="1" applyBorder="1"/>
    <xf numFmtId="0" fontId="2" fillId="0" borderId="3" xfId="3" applyFont="1" applyFill="1" applyBorder="1"/>
    <xf numFmtId="2" fontId="2" fillId="0" borderId="3" xfId="3" applyNumberFormat="1" applyFont="1" applyFill="1" applyBorder="1"/>
    <xf numFmtId="2" fontId="3" fillId="0" borderId="3" xfId="3" applyNumberFormat="1" applyFill="1" applyBorder="1"/>
    <xf numFmtId="167" fontId="3" fillId="0" borderId="3" xfId="3" applyNumberFormat="1" applyFill="1" applyBorder="1"/>
    <xf numFmtId="168" fontId="2" fillId="0" borderId="3" xfId="3" applyNumberFormat="1" applyFont="1" applyFill="1" applyBorder="1"/>
    <xf numFmtId="168" fontId="3" fillId="0" borderId="3" xfId="3" applyNumberFormat="1" applyFill="1" applyBorder="1"/>
    <xf numFmtId="0" fontId="17" fillId="0" borderId="3" xfId="3" applyFont="1" applyFill="1" applyBorder="1"/>
    <xf numFmtId="0" fontId="3" fillId="0" borderId="3" xfId="3" applyNumberFormat="1" applyFill="1" applyBorder="1"/>
    <xf numFmtId="0" fontId="3" fillId="0" borderId="75" xfId="3" applyFill="1" applyBorder="1"/>
    <xf numFmtId="0" fontId="3" fillId="0" borderId="8" xfId="3" applyFill="1" applyBorder="1"/>
    <xf numFmtId="0" fontId="15" fillId="0" borderId="8" xfId="3" applyFont="1" applyFill="1" applyBorder="1"/>
    <xf numFmtId="0" fontId="2" fillId="0" borderId="8" xfId="3" applyFont="1" applyFill="1" applyBorder="1"/>
    <xf numFmtId="0" fontId="3" fillId="0" borderId="7" xfId="3" applyFill="1" applyBorder="1"/>
    <xf numFmtId="170" fontId="3" fillId="0" borderId="3" xfId="13" applyNumberFormat="1" applyFont="1" applyFill="1" applyBorder="1"/>
    <xf numFmtId="170" fontId="3" fillId="0" borderId="1" xfId="13" applyNumberFormat="1" applyFont="1" applyFill="1" applyBorder="1"/>
    <xf numFmtId="44" fontId="3" fillId="0" borderId="3" xfId="3" applyNumberFormat="1" applyFill="1" applyBorder="1"/>
    <xf numFmtId="43" fontId="3" fillId="0" borderId="3" xfId="15" applyFont="1" applyFill="1" applyBorder="1"/>
    <xf numFmtId="173" fontId="3" fillId="0" borderId="3" xfId="15" applyNumberFormat="1" applyFont="1" applyFill="1" applyBorder="1"/>
    <xf numFmtId="169" fontId="3" fillId="0" borderId="3" xfId="15" applyNumberFormat="1" applyFont="1" applyFill="1" applyBorder="1"/>
    <xf numFmtId="2" fontId="16" fillId="0" borderId="3" xfId="3" applyNumberFormat="1" applyFont="1" applyFill="1" applyBorder="1"/>
    <xf numFmtId="0" fontId="3" fillId="0" borderId="0" xfId="3" applyFill="1"/>
    <xf numFmtId="169" fontId="3" fillId="0" borderId="0" xfId="3" applyNumberFormat="1" applyFill="1"/>
    <xf numFmtId="43" fontId="16" fillId="0" borderId="3" xfId="15" applyFont="1" applyFill="1" applyBorder="1"/>
    <xf numFmtId="173" fontId="16" fillId="0" borderId="3" xfId="15" applyNumberFormat="1" applyFont="1" applyFill="1" applyBorder="1"/>
    <xf numFmtId="0" fontId="3" fillId="32" borderId="1" xfId="3" applyFill="1" applyBorder="1"/>
    <xf numFmtId="169" fontId="2" fillId="0" borderId="3" xfId="15" applyNumberFormat="1" applyFont="1" applyFill="1" applyBorder="1"/>
    <xf numFmtId="43" fontId="2" fillId="0" borderId="3" xfId="15" applyFont="1" applyFill="1" applyBorder="1"/>
    <xf numFmtId="173" fontId="2" fillId="0" borderId="3" xfId="15" applyNumberFormat="1" applyFont="1" applyFill="1" applyBorder="1"/>
    <xf numFmtId="169" fontId="3" fillId="0" borderId="3" xfId="3" applyNumberFormat="1" applyFill="1" applyBorder="1"/>
    <xf numFmtId="0" fontId="3" fillId="0" borderId="0" xfId="3" applyNumberFormat="1" applyFont="1" applyFill="1" applyBorder="1" applyAlignment="1"/>
    <xf numFmtId="0" fontId="1" fillId="0" borderId="89" xfId="0" applyFont="1" applyBorder="1" applyAlignment="1">
      <alignment vertical="top" wrapText="1"/>
    </xf>
    <xf numFmtId="0" fontId="0" fillId="3" borderId="0" xfId="0" applyFill="1"/>
    <xf numFmtId="0" fontId="19" fillId="19" borderId="0" xfId="16" applyFont="1" applyFill="1" applyAlignment="1" applyProtection="1">
      <alignment vertical="center"/>
      <protection hidden="1"/>
    </xf>
    <xf numFmtId="0" fontId="19" fillId="0" borderId="0" xfId="17" applyFont="1" applyAlignment="1" applyProtection="1">
      <alignment vertical="center"/>
      <protection hidden="1"/>
    </xf>
    <xf numFmtId="0" fontId="21" fillId="19" borderId="0" xfId="19" applyFont="1" applyFill="1" applyAlignment="1" applyProtection="1">
      <alignment horizontal="right" vertical="center"/>
      <protection hidden="1"/>
    </xf>
    <xf numFmtId="0" fontId="26" fillId="0" borderId="0" xfId="16" applyFont="1" applyAlignment="1" applyProtection="1">
      <alignment vertical="center"/>
      <protection hidden="1"/>
    </xf>
    <xf numFmtId="0" fontId="26" fillId="0" borderId="0" xfId="17" applyFont="1" applyAlignment="1" applyProtection="1">
      <alignment vertical="center"/>
      <protection hidden="1"/>
    </xf>
    <xf numFmtId="3" fontId="19" fillId="0" borderId="24" xfId="16" applyNumberFormat="1" applyFont="1" applyBorder="1" applyAlignment="1" applyProtection="1">
      <alignment horizontal="center" vertical="center"/>
      <protection locked="0"/>
    </xf>
    <xf numFmtId="0" fontId="29" fillId="0" borderId="0" xfId="16" applyFont="1" applyAlignment="1" applyProtection="1">
      <alignment horizontal="left" vertical="center"/>
      <protection hidden="1"/>
    </xf>
    <xf numFmtId="0" fontId="21" fillId="0" borderId="24" xfId="16" applyFont="1" applyBorder="1" applyAlignment="1" applyProtection="1">
      <alignment horizontal="center" vertical="center"/>
      <protection locked="0"/>
    </xf>
    <xf numFmtId="169" fontId="21" fillId="0" borderId="24" xfId="23" applyNumberFormat="1" applyFont="1" applyFill="1" applyBorder="1" applyAlignment="1" applyProtection="1">
      <alignment horizontal="center" vertical="center"/>
      <protection locked="0"/>
    </xf>
    <xf numFmtId="170" fontId="21" fillId="19" borderId="24" xfId="10" applyNumberFormat="1" applyFont="1" applyFill="1" applyBorder="1" applyAlignment="1" applyProtection="1">
      <alignment vertical="top" wrapText="1"/>
      <protection locked="0"/>
    </xf>
    <xf numFmtId="0" fontId="21" fillId="19" borderId="0" xfId="16" applyFont="1" applyFill="1" applyAlignment="1" applyProtection="1">
      <alignment vertical="center"/>
      <protection hidden="1"/>
    </xf>
    <xf numFmtId="0" fontId="19" fillId="19" borderId="24" xfId="16" applyFont="1" applyFill="1" applyBorder="1" applyAlignment="1" applyProtection="1">
      <alignment horizontal="center" vertical="center"/>
      <protection locked="0"/>
    </xf>
    <xf numFmtId="0" fontId="3" fillId="10" borderId="1" xfId="3" applyFill="1" applyBorder="1"/>
    <xf numFmtId="0" fontId="3" fillId="16" borderId="31" xfId="3" applyFill="1" applyBorder="1"/>
    <xf numFmtId="0" fontId="21" fillId="0" borderId="24" xfId="19" applyFont="1" applyBorder="1" applyAlignment="1" applyProtection="1">
      <alignment vertical="center" wrapText="1"/>
      <protection locked="0" hidden="1"/>
    </xf>
    <xf numFmtId="169" fontId="21" fillId="0" borderId="24" xfId="23" applyNumberFormat="1" applyFont="1" applyBorder="1" applyAlignment="1" applyProtection="1">
      <alignment vertical="center" wrapText="1"/>
      <protection locked="0" hidden="1"/>
    </xf>
    <xf numFmtId="169" fontId="12" fillId="0" borderId="24" xfId="23" applyNumberFormat="1" applyFont="1" applyBorder="1" applyAlignment="1" applyProtection="1">
      <alignment horizontal="center" vertical="center"/>
      <protection hidden="1"/>
    </xf>
    <xf numFmtId="0" fontId="4" fillId="33" borderId="19" xfId="0" applyFont="1" applyFill="1" applyBorder="1" applyAlignment="1" applyProtection="1">
      <alignment vertical="center"/>
      <protection hidden="1"/>
    </xf>
    <xf numFmtId="0" fontId="75" fillId="19" borderId="0" xfId="0" applyFont="1" applyFill="1" applyAlignment="1" applyProtection="1">
      <alignment horizontal="center" vertical="center"/>
      <protection hidden="1"/>
    </xf>
    <xf numFmtId="0" fontId="76" fillId="19" borderId="0" xfId="0" applyFont="1" applyFill="1" applyAlignment="1" applyProtection="1">
      <alignment horizontal="left" vertical="center"/>
      <protection hidden="1"/>
    </xf>
    <xf numFmtId="170" fontId="3" fillId="0" borderId="24" xfId="13" applyNumberFormat="1" applyFont="1" applyBorder="1" applyAlignment="1" applyProtection="1">
      <alignment horizontal="center" vertical="center" wrapText="1"/>
      <protection locked="0"/>
    </xf>
    <xf numFmtId="0" fontId="4" fillId="5" borderId="0" xfId="3" applyFont="1" applyFill="1" applyAlignment="1" applyProtection="1">
      <alignment vertical="center"/>
    </xf>
    <xf numFmtId="0" fontId="4" fillId="5" borderId="9" xfId="3" applyFont="1" applyFill="1" applyBorder="1" applyAlignment="1" applyProtection="1">
      <alignment vertical="center"/>
    </xf>
    <xf numFmtId="1" fontId="29" fillId="30" borderId="24" xfId="5" applyNumberFormat="1" applyFont="1" applyFill="1" applyBorder="1" applyAlignment="1" applyProtection="1">
      <alignment horizontal="center" vertical="center"/>
    </xf>
    <xf numFmtId="44" fontId="21" fillId="19" borderId="0" xfId="13" applyFont="1" applyFill="1" applyBorder="1" applyAlignment="1" applyProtection="1">
      <alignment vertical="top" wrapText="1"/>
    </xf>
    <xf numFmtId="0" fontId="19" fillId="0" borderId="0" xfId="16" applyFont="1" applyAlignment="1" applyProtection="1">
      <alignment horizontal="center" vertical="center"/>
    </xf>
    <xf numFmtId="0" fontId="21" fillId="0" borderId="24" xfId="19" applyFont="1" applyBorder="1" applyAlignment="1" applyProtection="1">
      <alignment horizontal="center" vertical="center" wrapText="1"/>
      <protection hidden="1"/>
    </xf>
    <xf numFmtId="1" fontId="21" fillId="0" borderId="24" xfId="18" applyNumberFormat="1" applyFont="1" applyFill="1" applyBorder="1" applyAlignment="1" applyProtection="1">
      <alignment horizontal="center" vertical="center"/>
      <protection locked="0"/>
    </xf>
    <xf numFmtId="166" fontId="3" fillId="0" borderId="0" xfId="0" applyNumberFormat="1" applyFont="1" applyProtection="1">
      <protection hidden="1"/>
    </xf>
    <xf numFmtId="166" fontId="8" fillId="9" borderId="17" xfId="0" applyNumberFormat="1" applyFont="1" applyFill="1" applyBorder="1" applyAlignment="1" applyProtection="1">
      <alignment horizontal="center" wrapText="1"/>
      <protection hidden="1"/>
    </xf>
    <xf numFmtId="0" fontId="0" fillId="0" borderId="6" xfId="0" applyFont="1" applyBorder="1"/>
    <xf numFmtId="0" fontId="0" fillId="0" borderId="75" xfId="0" applyFont="1" applyBorder="1"/>
    <xf numFmtId="44" fontId="0" fillId="0" borderId="3" xfId="13" applyFont="1" applyBorder="1"/>
    <xf numFmtId="0" fontId="0" fillId="21" borderId="0" xfId="0" applyFill="1" applyProtection="1">
      <protection hidden="1"/>
    </xf>
    <xf numFmtId="0" fontId="12" fillId="28" borderId="19" xfId="2" applyFont="1" applyFill="1" applyBorder="1" applyAlignment="1" applyProtection="1">
      <alignment horizontal="center" vertical="center" wrapText="1"/>
      <protection hidden="1"/>
    </xf>
    <xf numFmtId="0" fontId="9" fillId="4" borderId="35" xfId="0" applyFont="1" applyFill="1" applyBorder="1" applyAlignment="1" applyProtection="1">
      <alignment horizontal="center" vertical="center" wrapText="1"/>
      <protection hidden="1"/>
    </xf>
    <xf numFmtId="0" fontId="21" fillId="0" borderId="5"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3" fontId="30" fillId="4" borderId="35" xfId="0" applyNumberFormat="1" applyFont="1" applyFill="1" applyBorder="1" applyAlignment="1" applyProtection="1">
      <alignment horizontal="center" vertical="center" wrapText="1"/>
      <protection hidden="1"/>
    </xf>
    <xf numFmtId="164" fontId="21" fillId="11" borderId="1" xfId="0" applyNumberFormat="1" applyFont="1" applyFill="1" applyBorder="1" applyAlignment="1" applyProtection="1">
      <alignment horizontal="center" vertical="center"/>
      <protection hidden="1"/>
    </xf>
    <xf numFmtId="164" fontId="21" fillId="10" borderId="1" xfId="0" applyNumberFormat="1" applyFont="1" applyFill="1" applyBorder="1" applyAlignment="1" applyProtection="1">
      <alignment horizontal="center" vertical="center"/>
      <protection hidden="1"/>
    </xf>
    <xf numFmtId="164" fontId="21" fillId="2" borderId="1" xfId="0" applyNumberFormat="1" applyFont="1" applyFill="1" applyBorder="1" applyAlignment="1" applyProtection="1">
      <alignment horizontal="center" vertical="center"/>
      <protection hidden="1"/>
    </xf>
    <xf numFmtId="165" fontId="21" fillId="12" borderId="1" xfId="0" applyNumberFormat="1" applyFont="1" applyFill="1" applyBorder="1" applyAlignment="1" applyProtection="1">
      <alignment horizontal="center" vertical="center"/>
      <protection hidden="1"/>
    </xf>
    <xf numFmtId="3" fontId="21" fillId="12" borderId="1" xfId="0" applyNumberFormat="1" applyFont="1" applyFill="1" applyBorder="1" applyAlignment="1" applyProtection="1">
      <alignment horizontal="center" vertical="center"/>
      <protection hidden="1"/>
    </xf>
    <xf numFmtId="165" fontId="21" fillId="2" borderId="1" xfId="0" applyNumberFormat="1" applyFont="1" applyFill="1" applyBorder="1" applyAlignment="1" applyProtection="1">
      <alignment horizontal="center" vertical="center"/>
      <protection hidden="1"/>
    </xf>
    <xf numFmtId="3" fontId="21" fillId="2" borderId="2" xfId="0" applyNumberFormat="1" applyFont="1" applyFill="1" applyBorder="1" applyAlignment="1" applyProtection="1">
      <alignment horizontal="center" vertical="center"/>
      <protection hidden="1"/>
    </xf>
    <xf numFmtId="0" fontId="5" fillId="4" borderId="18" xfId="3" applyFont="1" applyFill="1" applyBorder="1" applyAlignment="1" applyProtection="1">
      <alignment horizontal="center" vertical="center" wrapText="1"/>
    </xf>
    <xf numFmtId="0" fontId="4" fillId="4" borderId="18" xfId="3" applyFont="1" applyFill="1" applyBorder="1" applyAlignment="1" applyProtection="1">
      <alignment horizontal="center" vertical="center" wrapText="1"/>
    </xf>
    <xf numFmtId="0" fontId="4" fillId="5" borderId="18" xfId="3" applyFont="1" applyFill="1" applyBorder="1" applyAlignment="1" applyProtection="1">
      <alignment horizontal="center" vertical="center" wrapText="1"/>
    </xf>
    <xf numFmtId="0" fontId="4" fillId="23" borderId="18" xfId="3" applyFont="1" applyFill="1" applyBorder="1" applyAlignment="1" applyProtection="1">
      <alignment vertical="center"/>
    </xf>
    <xf numFmtId="0" fontId="4" fillId="24" borderId="18" xfId="3" applyFont="1" applyFill="1" applyBorder="1" applyAlignment="1" applyProtection="1">
      <alignment horizontal="center" vertical="center"/>
    </xf>
    <xf numFmtId="0" fontId="4" fillId="33" borderId="18" xfId="3" applyFont="1" applyFill="1" applyBorder="1" applyAlignment="1" applyProtection="1">
      <alignment vertical="center" wrapText="1"/>
    </xf>
    <xf numFmtId="0" fontId="4" fillId="33" borderId="13" xfId="3" applyFont="1" applyFill="1" applyBorder="1" applyAlignment="1" applyProtection="1">
      <alignment vertical="center" wrapText="1"/>
    </xf>
    <xf numFmtId="0" fontId="4" fillId="9" borderId="0" xfId="3" applyFont="1" applyFill="1" applyAlignment="1" applyProtection="1">
      <alignment horizontal="left" vertical="center" wrapText="1"/>
    </xf>
    <xf numFmtId="0" fontId="3" fillId="0" borderId="0" xfId="3" applyAlignment="1" applyProtection="1">
      <alignment vertical="center"/>
    </xf>
    <xf numFmtId="0" fontId="3" fillId="0" borderId="0" xfId="3" applyBorder="1" applyProtection="1"/>
    <xf numFmtId="0" fontId="9" fillId="4" borderId="38" xfId="3" applyFont="1" applyFill="1" applyBorder="1" applyAlignment="1" applyProtection="1">
      <alignment horizontal="center" vertical="center" wrapText="1"/>
    </xf>
    <xf numFmtId="0" fontId="33" fillId="14" borderId="97" xfId="3" applyFont="1" applyFill="1" applyBorder="1" applyAlignment="1" applyProtection="1">
      <alignment horizontal="center" vertical="center" wrapText="1"/>
    </xf>
    <xf numFmtId="0" fontId="33" fillId="14" borderId="98" xfId="3" applyFont="1" applyFill="1" applyBorder="1" applyAlignment="1" applyProtection="1">
      <alignment horizontal="center" vertical="center" wrapText="1"/>
    </xf>
    <xf numFmtId="0" fontId="33" fillId="14" borderId="99" xfId="3" applyFont="1" applyFill="1" applyBorder="1" applyAlignment="1" applyProtection="1">
      <alignment horizontal="center" vertical="center" wrapText="1"/>
    </xf>
    <xf numFmtId="166" fontId="3" fillId="31" borderId="36" xfId="0" applyNumberFormat="1" applyFont="1" applyFill="1" applyBorder="1" applyAlignment="1" applyProtection="1">
      <alignment horizontal="center" vertical="center"/>
      <protection hidden="1"/>
    </xf>
    <xf numFmtId="166" fontId="3" fillId="31" borderId="37" xfId="0" applyNumberFormat="1" applyFont="1" applyFill="1" applyBorder="1" applyAlignment="1" applyProtection="1">
      <alignment horizontal="center" vertical="center"/>
      <protection hidden="1"/>
    </xf>
    <xf numFmtId="3" fontId="3" fillId="31" borderId="36" xfId="0" applyNumberFormat="1" applyFont="1" applyFill="1" applyBorder="1" applyAlignment="1" applyProtection="1">
      <alignment horizontal="center" vertical="center" wrapText="1"/>
      <protection hidden="1"/>
    </xf>
    <xf numFmtId="3" fontId="3" fillId="31" borderId="37" xfId="0" applyNumberFormat="1" applyFont="1" applyFill="1" applyBorder="1" applyAlignment="1" applyProtection="1">
      <alignment horizontal="center" vertical="center" wrapText="1"/>
      <protection hidden="1"/>
    </xf>
    <xf numFmtId="164" fontId="3" fillId="31" borderId="36" xfId="0" applyNumberFormat="1" applyFont="1" applyFill="1" applyBorder="1" applyAlignment="1" applyProtection="1">
      <alignment horizontal="center" vertical="center"/>
      <protection hidden="1"/>
    </xf>
    <xf numFmtId="164" fontId="3" fillId="31" borderId="37" xfId="0" applyNumberFormat="1" applyFont="1" applyFill="1" applyBorder="1" applyAlignment="1" applyProtection="1">
      <alignment horizontal="center" vertical="center"/>
      <protection hidden="1"/>
    </xf>
    <xf numFmtId="164" fontId="3" fillId="31" borderId="20" xfId="0" applyNumberFormat="1" applyFont="1" applyFill="1" applyBorder="1" applyAlignment="1" applyProtection="1">
      <alignment horizontal="center" vertical="center"/>
      <protection hidden="1"/>
    </xf>
    <xf numFmtId="3" fontId="3" fillId="0" borderId="0" xfId="3" applyNumberFormat="1" applyAlignment="1" applyProtection="1">
      <alignment horizontal="left"/>
    </xf>
    <xf numFmtId="1" fontId="19" fillId="0" borderId="24" xfId="5" applyNumberFormat="1" applyBorder="1" applyAlignment="1" applyProtection="1">
      <alignment horizontal="center" vertical="center"/>
      <protection locked="0"/>
    </xf>
    <xf numFmtId="0" fontId="77" fillId="4" borderId="100" xfId="0" applyFont="1" applyFill="1" applyBorder="1" applyAlignment="1" applyProtection="1">
      <alignment horizontal="center" vertical="top" wrapText="1"/>
      <protection hidden="1"/>
    </xf>
    <xf numFmtId="0" fontId="77" fillId="4" borderId="100" xfId="0" applyFont="1" applyFill="1" applyBorder="1" applyAlignment="1" applyProtection="1">
      <alignment horizontal="center" vertical="center" wrapText="1"/>
      <protection hidden="1"/>
    </xf>
    <xf numFmtId="0" fontId="77" fillId="5" borderId="100" xfId="0" applyFont="1" applyFill="1" applyBorder="1" applyAlignment="1" applyProtection="1">
      <alignment horizontal="center" vertical="center" wrapText="1"/>
      <protection hidden="1"/>
    </xf>
    <xf numFmtId="0" fontId="77" fillId="6" borderId="100" xfId="0" applyFont="1" applyFill="1" applyBorder="1" applyAlignment="1" applyProtection="1">
      <alignment horizontal="center" vertical="center" wrapText="1"/>
      <protection hidden="1"/>
    </xf>
    <xf numFmtId="0" fontId="26" fillId="33" borderId="100" xfId="0" applyFont="1" applyFill="1" applyBorder="1" applyAlignment="1" applyProtection="1">
      <alignment horizontal="center" vertical="center" wrapText="1"/>
      <protection hidden="1"/>
    </xf>
    <xf numFmtId="0" fontId="77" fillId="33" borderId="100" xfId="0" applyFont="1" applyFill="1" applyBorder="1" applyAlignment="1" applyProtection="1">
      <alignment horizontal="center" vertical="center" wrapText="1"/>
      <protection hidden="1"/>
    </xf>
    <xf numFmtId="175" fontId="12" fillId="0" borderId="19" xfId="2" applyNumberFormat="1" applyFont="1" applyFill="1" applyBorder="1" applyAlignment="1" applyProtection="1">
      <alignment horizontal="center" vertical="center" wrapText="1"/>
      <protection hidden="1"/>
    </xf>
    <xf numFmtId="0" fontId="36" fillId="0" borderId="36" xfId="2" applyFont="1" applyFill="1" applyBorder="1" applyAlignment="1" applyProtection="1">
      <alignment horizontal="left" vertical="center" wrapText="1"/>
      <protection hidden="1"/>
    </xf>
    <xf numFmtId="0" fontId="36" fillId="0" borderId="20" xfId="2" applyFont="1" applyFill="1" applyBorder="1" applyAlignment="1" applyProtection="1">
      <alignment horizontal="left" vertical="center" wrapText="1"/>
      <protection hidden="1"/>
    </xf>
    <xf numFmtId="0" fontId="36" fillId="0" borderId="37" xfId="2" applyFont="1" applyFill="1" applyBorder="1" applyAlignment="1" applyProtection="1">
      <alignment horizontal="left" vertical="center" wrapText="1"/>
      <protection hidden="1"/>
    </xf>
    <xf numFmtId="1" fontId="36" fillId="0" borderId="19" xfId="2" applyNumberFormat="1" applyFont="1" applyFill="1" applyBorder="1" applyAlignment="1" applyProtection="1">
      <alignment horizontal="center" vertical="center" wrapText="1"/>
      <protection hidden="1"/>
    </xf>
    <xf numFmtId="0" fontId="36" fillId="0" borderId="19" xfId="2" applyFont="1" applyFill="1" applyBorder="1" applyAlignment="1" applyProtection="1">
      <alignment horizontal="left" vertical="center" wrapText="1"/>
      <protection hidden="1"/>
    </xf>
    <xf numFmtId="5" fontId="36" fillId="0" borderId="19" xfId="2" applyNumberFormat="1" applyFont="1" applyFill="1" applyBorder="1" applyAlignment="1" applyProtection="1">
      <alignment horizontal="center" vertical="center" wrapText="1"/>
      <protection hidden="1"/>
    </xf>
    <xf numFmtId="0" fontId="12" fillId="0" borderId="19" xfId="2" applyFont="1" applyFill="1" applyBorder="1" applyAlignment="1" applyProtection="1">
      <alignment horizontal="left" vertical="center" wrapText="1"/>
      <protection hidden="1"/>
    </xf>
    <xf numFmtId="0" fontId="12" fillId="0" borderId="0" xfId="2" applyFont="1" applyFill="1" applyBorder="1" applyAlignment="1" applyProtection="1">
      <alignment horizontal="left" vertical="center" wrapText="1"/>
      <protection hidden="1"/>
    </xf>
    <xf numFmtId="0" fontId="0" fillId="0" borderId="0" xfId="0" applyFill="1"/>
    <xf numFmtId="0" fontId="3" fillId="0" borderId="0" xfId="2" applyFont="1" applyFill="1"/>
    <xf numFmtId="0" fontId="35" fillId="0" borderId="3" xfId="0" applyFont="1" applyBorder="1" applyAlignment="1">
      <alignment horizontal="center" vertical="top" wrapText="1"/>
    </xf>
    <xf numFmtId="0" fontId="35" fillId="13" borderId="3" xfId="0" applyFont="1" applyFill="1" applyBorder="1" applyAlignment="1">
      <alignment horizontal="center" vertical="top" wrapText="1"/>
    </xf>
    <xf numFmtId="0" fontId="12" fillId="28" borderId="36" xfId="2" applyFont="1" applyFill="1" applyBorder="1" applyAlignment="1" applyProtection="1">
      <alignment vertical="center" wrapText="1"/>
      <protection hidden="1"/>
    </xf>
    <xf numFmtId="5" fontId="36" fillId="14" borderId="36" xfId="2" applyNumberFormat="1" applyFont="1" applyFill="1" applyBorder="1" applyAlignment="1" applyProtection="1">
      <alignment horizontal="center" vertical="center" wrapText="1"/>
      <protection hidden="1"/>
    </xf>
    <xf numFmtId="0" fontId="3" fillId="0" borderId="0" xfId="2" applyFont="1" applyAlignment="1">
      <alignment horizontal="center"/>
    </xf>
    <xf numFmtId="0" fontId="4" fillId="9" borderId="37" xfId="0" applyFont="1" applyFill="1" applyBorder="1" applyAlignment="1" applyProtection="1">
      <alignment horizontal="center" vertical="center"/>
      <protection hidden="1"/>
    </xf>
    <xf numFmtId="0" fontId="4" fillId="9" borderId="20" xfId="0" applyFont="1" applyFill="1" applyBorder="1" applyAlignment="1" applyProtection="1">
      <alignment horizontal="center" vertical="center"/>
      <protection hidden="1"/>
    </xf>
    <xf numFmtId="0" fontId="4" fillId="9" borderId="36" xfId="0" applyFont="1" applyFill="1" applyBorder="1" applyAlignment="1" applyProtection="1">
      <alignment horizontal="center" vertical="center"/>
      <protection hidden="1"/>
    </xf>
    <xf numFmtId="0" fontId="21" fillId="0" borderId="24" xfId="19" applyFont="1" applyBorder="1" applyAlignment="1" applyProtection="1">
      <alignment horizontal="center" vertical="center" wrapText="1"/>
      <protection locked="0" hidden="1"/>
    </xf>
    <xf numFmtId="0" fontId="21" fillId="0" borderId="0" xfId="16" applyFont="1" applyAlignment="1" applyProtection="1">
      <alignment horizontal="left" vertical="center"/>
      <protection hidden="1"/>
    </xf>
    <xf numFmtId="0" fontId="26" fillId="2" borderId="24" xfId="19" applyFont="1" applyFill="1" applyBorder="1" applyAlignment="1" applyProtection="1">
      <alignment horizontal="center" vertical="center" wrapText="1"/>
      <protection hidden="1"/>
    </xf>
    <xf numFmtId="0" fontId="3" fillId="0" borderId="0" xfId="16" applyFont="1" applyAlignment="1" applyProtection="1">
      <alignment horizontal="left" vertical="center" wrapText="1"/>
      <protection hidden="1"/>
    </xf>
    <xf numFmtId="0" fontId="21" fillId="0" borderId="0" xfId="16" applyFont="1" applyAlignment="1" applyProtection="1">
      <alignment horizontal="left" vertical="center" wrapText="1"/>
      <protection hidden="1"/>
    </xf>
    <xf numFmtId="0" fontId="49" fillId="0" borderId="0" xfId="16" applyFont="1" applyAlignment="1" applyProtection="1">
      <alignment horizontal="left" vertical="center"/>
      <protection hidden="1"/>
    </xf>
    <xf numFmtId="0" fontId="21" fillId="0" borderId="24" xfId="18" applyFont="1" applyFill="1" applyBorder="1" applyAlignment="1" applyProtection="1">
      <alignment horizontal="center" vertical="center"/>
      <protection locked="0"/>
    </xf>
    <xf numFmtId="0" fontId="80" fillId="19" borderId="7" xfId="0" applyFont="1" applyFill="1" applyBorder="1" applyAlignment="1" applyProtection="1">
      <alignment vertical="center"/>
      <protection hidden="1"/>
    </xf>
    <xf numFmtId="0" fontId="80" fillId="19" borderId="76" xfId="0" applyFont="1" applyFill="1" applyBorder="1" applyAlignment="1" applyProtection="1">
      <alignment vertical="center"/>
      <protection hidden="1"/>
    </xf>
    <xf numFmtId="0" fontId="80" fillId="19" borderId="2" xfId="0" applyFont="1" applyFill="1" applyBorder="1" applyAlignment="1" applyProtection="1">
      <alignment vertical="center"/>
      <protection hidden="1"/>
    </xf>
    <xf numFmtId="165" fontId="28" fillId="25" borderId="40" xfId="3" applyNumberFormat="1" applyFont="1" applyFill="1" applyBorder="1" applyAlignment="1" applyProtection="1">
      <alignment horizontal="center" vertical="center" wrapText="1"/>
      <protection locked="0"/>
    </xf>
    <xf numFmtId="165" fontId="28" fillId="25" borderId="3" xfId="3" applyNumberFormat="1" applyFont="1" applyFill="1" applyBorder="1" applyAlignment="1" applyProtection="1">
      <alignment horizontal="center" vertical="center" wrapText="1"/>
      <protection locked="0"/>
    </xf>
    <xf numFmtId="165" fontId="28" fillId="25" borderId="53" xfId="3" applyNumberFormat="1" applyFont="1" applyFill="1" applyBorder="1" applyAlignment="1" applyProtection="1">
      <alignment horizontal="center" vertical="center" wrapText="1"/>
      <protection locked="0"/>
    </xf>
    <xf numFmtId="0" fontId="3" fillId="0" borderId="0" xfId="0" applyFont="1" applyProtection="1"/>
    <xf numFmtId="0" fontId="82" fillId="0" borderId="0" xfId="16" applyFont="1" applyAlignment="1" applyProtection="1">
      <alignment horizontal="left" vertical="center"/>
      <protection hidden="1"/>
    </xf>
    <xf numFmtId="0" fontId="81" fillId="0" borderId="0" xfId="16" applyFont="1" applyAlignment="1" applyProtection="1">
      <alignment vertical="center"/>
      <protection hidden="1"/>
    </xf>
    <xf numFmtId="0" fontId="21" fillId="0" borderId="0" xfId="24" applyFont="1" applyAlignment="1" applyProtection="1">
      <alignment vertical="center" wrapText="1"/>
      <protection hidden="1"/>
    </xf>
    <xf numFmtId="0" fontId="21" fillId="19" borderId="0" xfId="24" applyFont="1" applyFill="1" applyAlignment="1" applyProtection="1">
      <alignment vertical="center"/>
      <protection hidden="1"/>
    </xf>
    <xf numFmtId="0" fontId="21" fillId="19" borderId="0" xfId="24" applyFont="1" applyFill="1" applyAlignment="1" applyProtection="1">
      <alignment vertical="center" wrapText="1"/>
      <protection hidden="1"/>
    </xf>
    <xf numFmtId="0" fontId="3" fillId="0" borderId="0" xfId="16" applyFont="1" applyAlignment="1" applyProtection="1">
      <alignment horizontal="left" vertical="center"/>
      <protection hidden="1"/>
    </xf>
    <xf numFmtId="0" fontId="36" fillId="0" borderId="0" xfId="18" applyFont="1" applyFill="1" applyBorder="1" applyAlignment="1" applyProtection="1">
      <alignment horizontal="left" vertical="top"/>
    </xf>
    <xf numFmtId="0" fontId="19" fillId="19" borderId="0" xfId="16" applyFont="1" applyFill="1" applyAlignment="1" applyProtection="1">
      <alignment horizontal="left" vertical="center"/>
      <protection hidden="1"/>
    </xf>
    <xf numFmtId="0" fontId="84" fillId="0" borderId="0" xfId="16" applyFont="1" applyAlignment="1" applyProtection="1">
      <alignment vertical="center"/>
      <protection hidden="1"/>
    </xf>
    <xf numFmtId="0" fontId="10" fillId="19" borderId="0" xfId="14" applyFill="1" applyBorder="1" applyProtection="1">
      <protection hidden="1"/>
    </xf>
    <xf numFmtId="0" fontId="83" fillId="19" borderId="0" xfId="14" applyFont="1" applyFill="1" applyAlignment="1" applyProtection="1">
      <protection hidden="1"/>
    </xf>
    <xf numFmtId="14" fontId="25" fillId="0" borderId="24" xfId="8" applyNumberFormat="1" applyBorder="1" applyAlignment="1" applyProtection="1">
      <alignment horizontal="left" vertical="center"/>
      <protection locked="0"/>
    </xf>
    <xf numFmtId="14" fontId="21" fillId="0" borderId="24" xfId="18" applyNumberFormat="1" applyFont="1" applyFill="1" applyBorder="1" applyAlignment="1" applyProtection="1">
      <alignment horizontal="center" vertical="center"/>
      <protection locked="0"/>
    </xf>
    <xf numFmtId="0" fontId="22" fillId="0" borderId="0" xfId="6" applyAlignment="1" applyProtection="1"/>
    <xf numFmtId="1" fontId="29" fillId="25" borderId="24" xfId="5" applyNumberFormat="1" applyFont="1" applyFill="1" applyBorder="1" applyAlignment="1" applyProtection="1">
      <alignment vertical="center"/>
    </xf>
    <xf numFmtId="169" fontId="29" fillId="25" borderId="24" xfId="9" applyNumberFormat="1" applyFont="1" applyFill="1" applyBorder="1" applyAlignment="1" applyProtection="1">
      <alignment vertical="center"/>
    </xf>
    <xf numFmtId="176" fontId="19" fillId="0" borderId="0" xfId="5" applyNumberFormat="1" applyAlignment="1" applyProtection="1">
      <alignment vertical="center"/>
    </xf>
    <xf numFmtId="3" fontId="25" fillId="0" borderId="24" xfId="7" applyNumberFormat="1" applyFont="1" applyBorder="1" applyAlignment="1" applyProtection="1">
      <alignment horizontal="center" vertical="center"/>
      <protection locked="0"/>
    </xf>
    <xf numFmtId="0" fontId="85" fillId="0" borderId="0" xfId="26" applyAlignment="1">
      <alignment horizontal="left" vertical="top"/>
    </xf>
    <xf numFmtId="0" fontId="88" fillId="0" borderId="104" xfId="26" applyFont="1" applyBorder="1" applyAlignment="1">
      <alignment horizontal="left" vertical="top" wrapText="1"/>
    </xf>
    <xf numFmtId="0" fontId="89" fillId="0" borderId="104" xfId="26" applyFont="1" applyBorder="1" applyAlignment="1">
      <alignment horizontal="left" vertical="top" wrapText="1"/>
    </xf>
    <xf numFmtId="0" fontId="85" fillId="0" borderId="104" xfId="26" applyBorder="1" applyAlignment="1">
      <alignment horizontal="left" wrapText="1"/>
    </xf>
    <xf numFmtId="0" fontId="88" fillId="0" borderId="104" xfId="26" applyFont="1" applyBorder="1" applyAlignment="1">
      <alignment horizontal="center" vertical="center" wrapText="1"/>
    </xf>
    <xf numFmtId="0" fontId="91" fillId="0" borderId="104" xfId="26" applyFont="1" applyBorder="1" applyAlignment="1">
      <alignment horizontal="center" vertical="center" wrapText="1"/>
    </xf>
    <xf numFmtId="0" fontId="85" fillId="0" borderId="104" xfId="26" applyBorder="1" applyAlignment="1">
      <alignment horizontal="left" vertical="top" wrapText="1"/>
    </xf>
    <xf numFmtId="0" fontId="58" fillId="0" borderId="104" xfId="26" applyFont="1" applyBorder="1" applyAlignment="1">
      <alignment horizontal="left" vertical="top" wrapText="1" indent="1"/>
    </xf>
    <xf numFmtId="167" fontId="19" fillId="0" borderId="24" xfId="5" applyNumberFormat="1" applyBorder="1" applyAlignment="1">
      <alignment vertical="center"/>
    </xf>
    <xf numFmtId="0" fontId="19" fillId="0" borderId="0" xfId="5" applyBorder="1" applyAlignment="1" applyProtection="1">
      <alignment vertical="center"/>
    </xf>
    <xf numFmtId="0" fontId="19" fillId="10" borderId="24" xfId="5" applyFill="1" applyBorder="1" applyAlignment="1" applyProtection="1">
      <alignment vertical="center" wrapText="1"/>
    </xf>
    <xf numFmtId="2" fontId="23" fillId="10" borderId="24" xfId="3" applyNumberFormat="1" applyFont="1" applyFill="1" applyBorder="1" applyAlignment="1" applyProtection="1">
      <alignment horizontal="right" vertical="center" wrapText="1"/>
    </xf>
    <xf numFmtId="2" fontId="19" fillId="10" borderId="24" xfId="5" applyNumberFormat="1" applyFill="1" applyBorder="1" applyAlignment="1" applyProtection="1">
      <alignment vertical="center"/>
    </xf>
    <xf numFmtId="0" fontId="68" fillId="0" borderId="0" xfId="27" applyFont="1" applyAlignment="1" applyProtection="1">
      <alignment vertical="center"/>
      <protection hidden="1"/>
    </xf>
    <xf numFmtId="0" fontId="21" fillId="19" borderId="0" xfId="24" applyFont="1" applyFill="1" applyAlignment="1" applyProtection="1">
      <alignment horizontal="left" vertical="center"/>
      <protection hidden="1"/>
    </xf>
    <xf numFmtId="2" fontId="19" fillId="0" borderId="0" xfId="5" applyNumberFormat="1" applyAlignment="1" applyProtection="1">
      <alignment vertical="center"/>
    </xf>
    <xf numFmtId="177" fontId="90" fillId="0" borderId="104" xfId="26" applyNumberFormat="1" applyFont="1" applyBorder="1" applyAlignment="1">
      <alignment horizontal="left" vertical="top" shrinkToFit="1"/>
    </xf>
    <xf numFmtId="0" fontId="0" fillId="21" borderId="0" xfId="0" applyFill="1" applyBorder="1"/>
    <xf numFmtId="0" fontId="77" fillId="34" borderId="18" xfId="0" applyFont="1" applyFill="1" applyBorder="1" applyAlignment="1" applyProtection="1">
      <alignment horizontal="center" vertical="center" wrapText="1"/>
      <protection hidden="1"/>
    </xf>
    <xf numFmtId="3" fontId="4" fillId="9" borderId="20" xfId="0" applyNumberFormat="1"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0" fontId="28" fillId="2" borderId="1" xfId="0" applyFont="1" applyFill="1" applyBorder="1" applyAlignment="1" applyProtection="1">
      <alignment horizontal="center" vertical="center" wrapText="1"/>
      <protection hidden="1"/>
    </xf>
    <xf numFmtId="0" fontId="21" fillId="2" borderId="3" xfId="0" applyFont="1" applyFill="1" applyBorder="1" applyAlignment="1" applyProtection="1">
      <alignment horizontal="center" vertical="center" wrapText="1"/>
      <protection hidden="1"/>
    </xf>
    <xf numFmtId="0" fontId="28" fillId="2" borderId="21" xfId="0" applyFont="1" applyFill="1" applyBorder="1" applyAlignment="1" applyProtection="1">
      <alignment horizontal="center" vertical="center" wrapText="1"/>
      <protection hidden="1"/>
    </xf>
    <xf numFmtId="0" fontId="28" fillId="2" borderId="3" xfId="0" applyFont="1" applyFill="1" applyBorder="1" applyAlignment="1" applyProtection="1">
      <alignment horizontal="center" vertical="center" wrapText="1"/>
      <protection hidden="1"/>
    </xf>
    <xf numFmtId="4" fontId="0" fillId="26" borderId="1" xfId="0" applyNumberFormat="1" applyFont="1" applyFill="1" applyBorder="1"/>
    <xf numFmtId="4" fontId="1" fillId="0" borderId="0" xfId="0" applyNumberFormat="1" applyFont="1"/>
    <xf numFmtId="4" fontId="0" fillId="0" borderId="0" xfId="0" applyNumberFormat="1"/>
    <xf numFmtId="4" fontId="35" fillId="13" borderId="82" xfId="0" applyNumberFormat="1" applyFont="1" applyFill="1" applyBorder="1" applyAlignment="1">
      <alignment horizontal="center" vertical="top" wrapText="1"/>
    </xf>
    <xf numFmtId="3" fontId="2" fillId="17" borderId="2" xfId="3" applyNumberFormat="1" applyFont="1" applyFill="1" applyBorder="1" applyAlignment="1" applyProtection="1">
      <alignment horizontal="left" vertical="center"/>
    </xf>
    <xf numFmtId="4" fontId="35" fillId="13" borderId="3" xfId="0" applyNumberFormat="1" applyFont="1" applyFill="1" applyBorder="1" applyAlignment="1">
      <alignment horizontal="center" vertical="top" wrapText="1"/>
    </xf>
    <xf numFmtId="0" fontId="1" fillId="0" borderId="3" xfId="0" applyFont="1" applyBorder="1"/>
    <xf numFmtId="44" fontId="0" fillId="0" borderId="0" xfId="13" applyFont="1"/>
    <xf numFmtId="0" fontId="0" fillId="0" borderId="0" xfId="0" applyFill="1" applyBorder="1"/>
    <xf numFmtId="43" fontId="1" fillId="0" borderId="3" xfId="15" applyFont="1" applyBorder="1"/>
    <xf numFmtId="4" fontId="0" fillId="0" borderId="4" xfId="0" applyNumberFormat="1" applyBorder="1"/>
    <xf numFmtId="43" fontId="0" fillId="0" borderId="4" xfId="0" applyNumberFormat="1" applyBorder="1"/>
    <xf numFmtId="0" fontId="1" fillId="21" borderId="3" xfId="0" applyFont="1" applyFill="1" applyBorder="1"/>
    <xf numFmtId="172" fontId="1" fillId="21" borderId="3" xfId="13" applyNumberFormat="1" applyFont="1" applyFill="1" applyBorder="1"/>
    <xf numFmtId="172" fontId="0" fillId="0" borderId="0" xfId="13" applyNumberFormat="1" applyFont="1"/>
    <xf numFmtId="178" fontId="1" fillId="0" borderId="0" xfId="0" applyNumberFormat="1" applyFont="1"/>
    <xf numFmtId="0" fontId="0" fillId="0" borderId="0" xfId="0" applyNumberFormat="1" applyAlignment="1">
      <alignment horizontal="center" vertical="center"/>
    </xf>
    <xf numFmtId="0" fontId="0" fillId="0" borderId="0" xfId="0" applyNumberFormat="1"/>
    <xf numFmtId="0" fontId="93" fillId="0" borderId="0" xfId="0" applyFont="1" applyAlignment="1">
      <alignment horizontal="center" vertical="center"/>
    </xf>
    <xf numFmtId="0" fontId="3" fillId="0" borderId="0" xfId="0" applyFont="1" applyBorder="1" applyAlignment="1" applyProtection="1">
      <alignment vertical="center"/>
      <protection hidden="1"/>
    </xf>
    <xf numFmtId="49" fontId="38" fillId="9" borderId="3" xfId="28" applyNumberFormat="1" applyFont="1" applyFill="1" applyBorder="1" applyAlignment="1">
      <alignment horizontal="left" vertical="center" wrapText="1"/>
    </xf>
    <xf numFmtId="49" fontId="29" fillId="21" borderId="3" xfId="28" applyNumberFormat="1" applyFont="1" applyFill="1" applyBorder="1" applyAlignment="1" applyProtection="1">
      <alignment horizontal="left" vertical="center" wrapText="1"/>
      <protection locked="0"/>
    </xf>
    <xf numFmtId="0" fontId="21" fillId="0" borderId="0" xfId="29"/>
    <xf numFmtId="49" fontId="38" fillId="9" borderId="3" xfId="28" applyNumberFormat="1" applyFont="1" applyFill="1" applyBorder="1" applyAlignment="1" applyProtection="1">
      <alignment horizontal="left" vertical="center" wrapText="1"/>
      <protection locked="0"/>
    </xf>
    <xf numFmtId="49" fontId="77" fillId="35" borderId="3" xfId="28" applyNumberFormat="1" applyFont="1" applyFill="1" applyBorder="1" applyAlignment="1">
      <alignment horizontal="center" vertical="center" wrapText="1"/>
    </xf>
    <xf numFmtId="49" fontId="77" fillId="35" borderId="3" xfId="28" applyNumberFormat="1" applyFont="1" applyFill="1" applyBorder="1" applyAlignment="1">
      <alignment horizontal="left" vertical="center" wrapText="1"/>
    </xf>
    <xf numFmtId="49" fontId="77" fillId="35" borderId="3" xfId="28" applyNumberFormat="1" applyFont="1" applyFill="1" applyBorder="1" applyAlignment="1" applyProtection="1">
      <alignment horizontal="left" vertical="center" wrapText="1"/>
      <protection locked="0"/>
    </xf>
    <xf numFmtId="0" fontId="19" fillId="0" borderId="3" xfId="29" applyFont="1" applyBorder="1" applyAlignment="1">
      <alignment horizontal="center" vertical="center" wrapText="1"/>
    </xf>
    <xf numFmtId="0" fontId="19" fillId="0" borderId="3" xfId="29" applyFont="1" applyBorder="1" applyAlignment="1">
      <alignment horizontal="left" vertical="center" wrapText="1"/>
    </xf>
    <xf numFmtId="0" fontId="96" fillId="0" borderId="3" xfId="30" applyBorder="1" applyAlignment="1">
      <alignment horizontal="left" vertical="center" wrapText="1"/>
    </xf>
    <xf numFmtId="0" fontId="29" fillId="0" borderId="3" xfId="29" applyFont="1" applyBorder="1" applyAlignment="1">
      <alignment horizontal="left" vertical="center" wrapText="1"/>
    </xf>
    <xf numFmtId="0" fontId="19" fillId="36" borderId="3" xfId="29" applyFont="1" applyFill="1" applyBorder="1" applyAlignment="1" applyProtection="1">
      <alignment horizontal="left" vertical="center" wrapText="1"/>
      <protection locked="0"/>
    </xf>
    <xf numFmtId="0" fontId="19" fillId="0" borderId="3" xfId="29" applyFont="1" applyBorder="1" applyAlignment="1">
      <alignment horizontal="center" vertical="center"/>
    </xf>
    <xf numFmtId="49" fontId="19" fillId="0" borderId="3" xfId="29" applyNumberFormat="1" applyFont="1" applyBorder="1"/>
    <xf numFmtId="49" fontId="29" fillId="0" borderId="3" xfId="29" applyNumberFormat="1" applyFont="1" applyBorder="1"/>
    <xf numFmtId="49" fontId="19" fillId="36" borderId="3" xfId="29" applyNumberFormat="1" applyFont="1" applyFill="1" applyBorder="1" applyProtection="1">
      <protection locked="0"/>
    </xf>
    <xf numFmtId="14" fontId="85" fillId="0" borderId="104" xfId="26" applyNumberFormat="1" applyBorder="1" applyAlignment="1">
      <alignment horizontal="left" wrapText="1"/>
    </xf>
    <xf numFmtId="0" fontId="85" fillId="0" borderId="104" xfId="26" quotePrefix="1" applyBorder="1" applyAlignment="1">
      <alignment horizontal="left" wrapText="1"/>
    </xf>
    <xf numFmtId="0" fontId="21" fillId="0" borderId="3" xfId="0" applyFont="1" applyBorder="1" applyAlignment="1" applyProtection="1">
      <alignment horizontal="center" vertical="center" wrapText="1"/>
    </xf>
    <xf numFmtId="1" fontId="97" fillId="0" borderId="3" xfId="0" applyNumberFormat="1" applyFont="1" applyFill="1" applyBorder="1" applyAlignment="1" applyProtection="1">
      <alignment horizontal="center" vertical="center" wrapText="1"/>
      <protection locked="0"/>
    </xf>
    <xf numFmtId="1" fontId="97" fillId="6" borderId="19" xfId="0" applyNumberFormat="1" applyFont="1" applyFill="1" applyBorder="1" applyAlignment="1" applyProtection="1">
      <alignment horizontal="center" vertical="center" wrapText="1"/>
      <protection locked="0"/>
    </xf>
    <xf numFmtId="0" fontId="19" fillId="37" borderId="24" xfId="5" applyFill="1" applyBorder="1" applyAlignment="1" applyProtection="1">
      <alignment vertical="center"/>
    </xf>
    <xf numFmtId="3" fontId="2" fillId="17" borderId="23" xfId="3" applyNumberFormat="1" applyFont="1" applyFill="1" applyBorder="1" applyAlignment="1" applyProtection="1">
      <alignment horizontal="center" vertical="center"/>
    </xf>
    <xf numFmtId="0" fontId="4" fillId="7" borderId="0" xfId="3" applyFont="1" applyFill="1" applyAlignment="1" applyProtection="1">
      <alignment vertical="center" wrapText="1"/>
    </xf>
    <xf numFmtId="0" fontId="16" fillId="19" borderId="0" xfId="2" applyFont="1" applyFill="1"/>
    <xf numFmtId="0" fontId="66" fillId="0" borderId="0" xfId="14" applyFont="1" applyBorder="1" applyAlignment="1" applyProtection="1">
      <alignment horizontal="center" vertical="center" wrapText="1"/>
      <protection hidden="1"/>
    </xf>
    <xf numFmtId="0" fontId="83" fillId="19" borderId="0" xfId="14" applyFont="1" applyFill="1" applyAlignment="1" applyProtection="1">
      <alignment horizontal="center"/>
      <protection hidden="1"/>
    </xf>
    <xf numFmtId="0" fontId="25" fillId="0" borderId="32" xfId="8" applyBorder="1" applyAlignment="1" applyProtection="1">
      <alignment horizontal="left" vertical="center"/>
      <protection locked="0"/>
    </xf>
    <xf numFmtId="0" fontId="25" fillId="0" borderId="33" xfId="8" applyBorder="1" applyAlignment="1" applyProtection="1">
      <alignment horizontal="left" vertical="center"/>
      <protection locked="0"/>
    </xf>
    <xf numFmtId="0" fontId="25" fillId="0" borderId="34" xfId="8" applyBorder="1" applyAlignment="1" applyProtection="1">
      <alignment horizontal="left" vertical="center"/>
      <protection locked="0"/>
    </xf>
    <xf numFmtId="0" fontId="20" fillId="0" borderId="0" xfId="4" applyFont="1" applyAlignment="1" applyProtection="1">
      <alignment horizontal="left" vertical="center"/>
    </xf>
    <xf numFmtId="0" fontId="25" fillId="0" borderId="32" xfId="8" applyBorder="1" applyAlignment="1">
      <alignment horizontal="left" vertical="center"/>
      <protection locked="0"/>
    </xf>
    <xf numFmtId="0" fontId="25" fillId="0" borderId="33" xfId="8" applyBorder="1" applyAlignment="1">
      <alignment horizontal="left" vertical="center"/>
      <protection locked="0"/>
    </xf>
    <xf numFmtId="0" fontId="25" fillId="0" borderId="34" xfId="8" applyBorder="1" applyAlignment="1">
      <alignment horizontal="left" vertical="center"/>
      <protection locked="0"/>
    </xf>
    <xf numFmtId="0" fontId="26" fillId="0" borderId="0" xfId="7" applyFont="1" applyAlignment="1" applyProtection="1">
      <alignment horizontal="left" wrapText="1"/>
    </xf>
    <xf numFmtId="0" fontId="26" fillId="0" borderId="87" xfId="7" applyFont="1" applyBorder="1" applyAlignment="1" applyProtection="1">
      <alignment horizontal="left" wrapText="1"/>
    </xf>
    <xf numFmtId="0" fontId="4" fillId="4" borderId="0" xfId="0" applyFont="1" applyFill="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4" fillId="33" borderId="10" xfId="0" applyFont="1" applyFill="1" applyBorder="1" applyAlignment="1" applyProtection="1">
      <alignment horizontal="center" vertical="center" wrapText="1"/>
      <protection hidden="1"/>
    </xf>
    <xf numFmtId="0" fontId="4" fillId="33" borderId="11" xfId="0" applyFont="1" applyFill="1" applyBorder="1" applyAlignment="1" applyProtection="1">
      <alignment horizontal="center" vertical="center" wrapText="1"/>
      <protection hidden="1"/>
    </xf>
    <xf numFmtId="0" fontId="4" fillId="33" borderId="12" xfId="0" applyFont="1" applyFill="1" applyBorder="1" applyAlignment="1" applyProtection="1">
      <alignment horizontal="center" vertical="center" wrapText="1"/>
      <protection hidden="1"/>
    </xf>
    <xf numFmtId="0" fontId="4" fillId="33" borderId="13" xfId="0" applyFont="1" applyFill="1" applyBorder="1" applyAlignment="1" applyProtection="1">
      <alignment horizontal="center" vertical="center" wrapText="1"/>
      <protection hidden="1"/>
    </xf>
    <xf numFmtId="0" fontId="4" fillId="33" borderId="0" xfId="0" applyFont="1" applyFill="1" applyBorder="1" applyAlignment="1" applyProtection="1">
      <alignment horizontal="center" vertical="center" wrapText="1"/>
      <protection hidden="1"/>
    </xf>
    <xf numFmtId="0" fontId="4" fillId="33" borderId="9" xfId="0" applyFont="1" applyFill="1" applyBorder="1" applyAlignment="1" applyProtection="1">
      <alignment horizontal="center" vertical="center" wrapText="1"/>
      <protection hidden="1"/>
    </xf>
    <xf numFmtId="0" fontId="3" fillId="0" borderId="4" xfId="0" applyFont="1" applyBorder="1" applyAlignment="1" applyProtection="1">
      <alignment horizontal="center"/>
      <protection hidden="1"/>
    </xf>
    <xf numFmtId="0" fontId="0" fillId="0" borderId="96" xfId="0" applyBorder="1" applyAlignment="1">
      <alignment horizontal="center"/>
    </xf>
    <xf numFmtId="0" fontId="0" fillId="0" borderId="6" xfId="0" applyBorder="1" applyAlignment="1">
      <alignment horizontal="center"/>
    </xf>
    <xf numFmtId="0" fontId="4" fillId="6" borderId="13"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4" fillId="5" borderId="13" xfId="0" applyFont="1" applyFill="1" applyBorder="1" applyAlignment="1" applyProtection="1">
      <alignment horizontal="center" vertical="center"/>
      <protection hidden="1"/>
    </xf>
    <xf numFmtId="0" fontId="4" fillId="5" borderId="0" xfId="0" applyFont="1" applyFill="1" applyBorder="1" applyAlignment="1" applyProtection="1">
      <alignment horizontal="center" vertical="center"/>
      <protection hidden="1"/>
    </xf>
    <xf numFmtId="49" fontId="3" fillId="0" borderId="105" xfId="3" applyNumberFormat="1" applyBorder="1" applyAlignment="1" applyProtection="1">
      <alignment horizontal="left" vertical="top" wrapText="1"/>
      <protection locked="0"/>
    </xf>
    <xf numFmtId="49" fontId="3" fillId="0" borderId="106" xfId="3" applyNumberFormat="1" applyBorder="1" applyAlignment="1" applyProtection="1">
      <alignment horizontal="left" vertical="top" wrapText="1"/>
      <protection locked="0"/>
    </xf>
    <xf numFmtId="49" fontId="3" fillId="0" borderId="107" xfId="3" applyNumberFormat="1" applyBorder="1" applyAlignment="1" applyProtection="1">
      <alignment horizontal="left" vertical="top" wrapText="1"/>
      <protection locked="0"/>
    </xf>
    <xf numFmtId="0" fontId="4" fillId="4" borderId="0" xfId="3" applyFont="1" applyFill="1" applyAlignment="1" applyProtection="1">
      <alignment horizontal="center" vertical="center"/>
    </xf>
    <xf numFmtId="0" fontId="4" fillId="5" borderId="0" xfId="3" applyFont="1" applyFill="1" applyAlignment="1" applyProtection="1">
      <alignment horizontal="center" vertical="center" wrapText="1"/>
    </xf>
    <xf numFmtId="0" fontId="4" fillId="5" borderId="9" xfId="3" applyFont="1" applyFill="1" applyBorder="1" applyAlignment="1" applyProtection="1">
      <alignment horizontal="center" vertical="center" wrapText="1"/>
    </xf>
    <xf numFmtId="0" fontId="4" fillId="23" borderId="0" xfId="3" applyFont="1" applyFill="1" applyAlignment="1" applyProtection="1">
      <alignment horizontal="center" vertical="center"/>
    </xf>
    <xf numFmtId="0" fontId="4" fillId="23" borderId="9" xfId="3" applyFont="1" applyFill="1" applyBorder="1" applyAlignment="1" applyProtection="1">
      <alignment horizontal="center" vertical="center"/>
    </xf>
    <xf numFmtId="0" fontId="4" fillId="24" borderId="35" xfId="3" applyFont="1" applyFill="1" applyBorder="1" applyAlignment="1" applyProtection="1">
      <alignment horizontal="center"/>
    </xf>
    <xf numFmtId="0" fontId="4" fillId="33" borderId="13" xfId="3" applyFont="1" applyFill="1" applyBorder="1" applyAlignment="1" applyProtection="1">
      <alignment horizontal="center" vertical="center"/>
    </xf>
    <xf numFmtId="0" fontId="4" fillId="33" borderId="0" xfId="3" applyFont="1" applyFill="1" applyAlignment="1" applyProtection="1">
      <alignment horizontal="center" vertical="center"/>
    </xf>
    <xf numFmtId="0" fontId="4" fillId="24" borderId="19" xfId="3" applyFont="1" applyFill="1" applyBorder="1" applyAlignment="1" applyProtection="1">
      <alignment horizontal="center"/>
    </xf>
    <xf numFmtId="0" fontId="4" fillId="24" borderId="36" xfId="3" applyFont="1" applyFill="1" applyBorder="1" applyAlignment="1" applyProtection="1">
      <alignment horizontal="center"/>
    </xf>
    <xf numFmtId="0" fontId="4" fillId="24" borderId="37" xfId="3" applyFont="1" applyFill="1" applyBorder="1" applyAlignment="1" applyProtection="1">
      <alignment horizontal="center"/>
    </xf>
    <xf numFmtId="0" fontId="4" fillId="24" borderId="20" xfId="3" applyFont="1" applyFill="1" applyBorder="1" applyAlignment="1" applyProtection="1">
      <alignment horizontal="center"/>
    </xf>
    <xf numFmtId="0" fontId="4" fillId="4" borderId="9" xfId="3" applyFont="1" applyFill="1" applyBorder="1" applyAlignment="1" applyProtection="1">
      <alignment horizontal="center" vertical="center"/>
    </xf>
    <xf numFmtId="0" fontId="4" fillId="5" borderId="13" xfId="3" applyFont="1" applyFill="1" applyBorder="1" applyAlignment="1" applyProtection="1">
      <alignment horizontal="center" vertical="center"/>
    </xf>
    <xf numFmtId="0" fontId="4" fillId="5" borderId="9" xfId="3" applyFont="1" applyFill="1" applyBorder="1" applyAlignment="1" applyProtection="1">
      <alignment horizontal="center" vertical="center"/>
    </xf>
    <xf numFmtId="3" fontId="3" fillId="30" borderId="36" xfId="0" applyNumberFormat="1" applyFont="1" applyFill="1" applyBorder="1" applyAlignment="1" applyProtection="1">
      <alignment horizontal="center" vertical="center" wrapText="1"/>
      <protection hidden="1"/>
    </xf>
    <xf numFmtId="3" fontId="3" fillId="30" borderId="37" xfId="0" applyNumberFormat="1" applyFont="1" applyFill="1" applyBorder="1" applyAlignment="1" applyProtection="1">
      <alignment horizontal="center" vertical="center" wrapText="1"/>
      <protection hidden="1"/>
    </xf>
    <xf numFmtId="3" fontId="3" fillId="30" borderId="20" xfId="0" applyNumberFormat="1" applyFont="1" applyFill="1" applyBorder="1" applyAlignment="1" applyProtection="1">
      <alignment horizontal="center" vertical="center" wrapText="1"/>
      <protection hidden="1"/>
    </xf>
    <xf numFmtId="0" fontId="4" fillId="33" borderId="36" xfId="0" applyFont="1" applyFill="1" applyBorder="1" applyAlignment="1" applyProtection="1">
      <alignment horizontal="center" vertical="center" wrapText="1"/>
      <protection hidden="1"/>
    </xf>
    <xf numFmtId="0" fontId="4" fillId="33" borderId="37" xfId="0" applyFont="1" applyFill="1" applyBorder="1" applyAlignment="1" applyProtection="1">
      <alignment horizontal="center" vertical="center" wrapText="1"/>
      <protection hidden="1"/>
    </xf>
    <xf numFmtId="0" fontId="4" fillId="33" borderId="20" xfId="0" applyFont="1" applyFill="1" applyBorder="1" applyAlignment="1" applyProtection="1">
      <alignment horizontal="center" vertical="center" wrapText="1"/>
      <protection hidden="1"/>
    </xf>
    <xf numFmtId="166" fontId="3" fillId="30" borderId="37" xfId="0" applyNumberFormat="1" applyFont="1" applyFill="1" applyBorder="1" applyAlignment="1" applyProtection="1">
      <alignment horizontal="center" vertical="center"/>
      <protection hidden="1"/>
    </xf>
    <xf numFmtId="166" fontId="3" fillId="30" borderId="36" xfId="0" applyNumberFormat="1" applyFont="1" applyFill="1" applyBorder="1" applyAlignment="1" applyProtection="1">
      <alignment horizontal="center" vertical="center"/>
      <protection hidden="1"/>
    </xf>
    <xf numFmtId="0" fontId="4" fillId="9" borderId="36" xfId="0" applyFont="1" applyFill="1" applyBorder="1" applyAlignment="1" applyProtection="1">
      <alignment horizontal="center" vertical="center"/>
      <protection hidden="1"/>
    </xf>
    <xf numFmtId="0" fontId="4" fillId="9" borderId="37" xfId="0" applyFont="1" applyFill="1" applyBorder="1" applyAlignment="1" applyProtection="1">
      <alignment horizontal="center" vertical="center"/>
      <protection hidden="1"/>
    </xf>
    <xf numFmtId="0" fontId="4" fillId="9" borderId="20" xfId="0" applyFont="1" applyFill="1" applyBorder="1" applyAlignment="1" applyProtection="1">
      <alignment horizontal="center" vertical="center"/>
      <protection hidden="1"/>
    </xf>
    <xf numFmtId="164" fontId="3" fillId="30" borderId="36" xfId="0" applyNumberFormat="1" applyFont="1" applyFill="1" applyBorder="1" applyAlignment="1" applyProtection="1">
      <alignment horizontal="center" vertical="center"/>
      <protection hidden="1"/>
    </xf>
    <xf numFmtId="164" fontId="3" fillId="30" borderId="37" xfId="0" applyNumberFormat="1" applyFont="1" applyFill="1" applyBorder="1" applyAlignment="1" applyProtection="1">
      <alignment horizontal="center" vertical="center"/>
      <protection hidden="1"/>
    </xf>
    <xf numFmtId="0" fontId="79" fillId="33" borderId="36" xfId="0" applyFont="1" applyFill="1" applyBorder="1" applyAlignment="1" applyProtection="1">
      <alignment horizontal="center" vertical="center" wrapText="1"/>
      <protection hidden="1"/>
    </xf>
    <xf numFmtId="0" fontId="79" fillId="33" borderId="37" xfId="0" applyFont="1" applyFill="1" applyBorder="1" applyAlignment="1" applyProtection="1">
      <alignment horizontal="center" vertical="center" wrapText="1"/>
      <protection hidden="1"/>
    </xf>
    <xf numFmtId="0" fontId="79" fillId="33" borderId="20" xfId="0" applyFont="1" applyFill="1" applyBorder="1" applyAlignment="1" applyProtection="1">
      <alignment horizontal="center" vertical="center" wrapText="1"/>
      <protection hidden="1"/>
    </xf>
    <xf numFmtId="0" fontId="52" fillId="30" borderId="37" xfId="0" applyFont="1" applyFill="1" applyBorder="1" applyAlignment="1" applyProtection="1">
      <alignment horizontal="right" vertical="center"/>
      <protection hidden="1"/>
    </xf>
    <xf numFmtId="0" fontId="52" fillId="30" borderId="20" xfId="0" applyFont="1" applyFill="1" applyBorder="1" applyAlignment="1" applyProtection="1">
      <alignment horizontal="right" vertical="center"/>
      <protection hidden="1"/>
    </xf>
    <xf numFmtId="164" fontId="3" fillId="30" borderId="20" xfId="0" applyNumberFormat="1" applyFont="1" applyFill="1" applyBorder="1" applyAlignment="1" applyProtection="1">
      <alignment horizontal="center" vertical="center"/>
      <protection hidden="1"/>
    </xf>
    <xf numFmtId="165" fontId="3" fillId="30" borderId="36" xfId="0" applyNumberFormat="1" applyFont="1" applyFill="1" applyBorder="1" applyAlignment="1" applyProtection="1">
      <alignment horizontal="center" vertical="center" wrapText="1"/>
      <protection hidden="1"/>
    </xf>
    <xf numFmtId="165" fontId="3" fillId="30" borderId="37" xfId="0" applyNumberFormat="1" applyFont="1" applyFill="1" applyBorder="1" applyAlignment="1" applyProtection="1">
      <alignment horizontal="center" vertical="center" wrapText="1"/>
      <protection hidden="1"/>
    </xf>
    <xf numFmtId="165" fontId="3" fillId="30" borderId="20" xfId="0" applyNumberFormat="1"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4" fillId="9" borderId="74" xfId="0" applyFont="1" applyFill="1" applyBorder="1" applyAlignment="1" applyProtection="1">
      <alignment horizontal="center" vertical="center" wrapText="1"/>
      <protection hidden="1"/>
    </xf>
    <xf numFmtId="0" fontId="4" fillId="9" borderId="75" xfId="0" applyFont="1" applyFill="1" applyBorder="1" applyAlignment="1" applyProtection="1">
      <alignment horizontal="center" vertical="center" wrapText="1"/>
      <protection hidden="1"/>
    </xf>
    <xf numFmtId="0" fontId="54" fillId="33" borderId="19" xfId="0" applyFont="1" applyFill="1" applyBorder="1" applyAlignment="1" applyProtection="1">
      <alignment horizontal="center" vertical="center"/>
      <protection hidden="1"/>
    </xf>
    <xf numFmtId="1" fontId="4" fillId="9" borderId="36" xfId="0" applyNumberFormat="1" applyFont="1" applyFill="1" applyBorder="1" applyAlignment="1" applyProtection="1">
      <alignment horizontal="center" vertical="center"/>
      <protection hidden="1"/>
    </xf>
    <xf numFmtId="169" fontId="59" fillId="30" borderId="19" xfId="12" applyNumberFormat="1" applyFont="1" applyFill="1" applyBorder="1" applyAlignment="1" applyProtection="1">
      <alignment horizontal="right" vertical="center"/>
      <protection hidden="1"/>
    </xf>
    <xf numFmtId="0" fontId="79" fillId="33" borderId="36" xfId="0" applyFont="1" applyFill="1" applyBorder="1" applyAlignment="1" applyProtection="1">
      <alignment horizontal="center" vertical="center"/>
      <protection hidden="1"/>
    </xf>
    <xf numFmtId="0" fontId="79" fillId="33" borderId="37" xfId="0" applyFont="1" applyFill="1" applyBorder="1" applyAlignment="1" applyProtection="1">
      <alignment horizontal="center" vertical="center"/>
      <protection hidden="1"/>
    </xf>
    <xf numFmtId="0" fontId="79" fillId="33" borderId="20" xfId="0" applyFont="1" applyFill="1" applyBorder="1" applyAlignment="1" applyProtection="1">
      <alignment horizontal="center" vertical="center"/>
      <protection hidden="1"/>
    </xf>
    <xf numFmtId="0" fontId="4" fillId="33" borderId="19" xfId="0" applyFont="1" applyFill="1" applyBorder="1" applyAlignment="1" applyProtection="1">
      <alignment horizontal="center" vertical="center"/>
      <protection hidden="1"/>
    </xf>
    <xf numFmtId="173" fontId="59" fillId="30" borderId="19" xfId="12" applyNumberFormat="1" applyFont="1" applyFill="1" applyBorder="1" applyAlignment="1" applyProtection="1">
      <alignment horizontal="right" vertical="center"/>
      <protection hidden="1"/>
    </xf>
    <xf numFmtId="169" fontId="59" fillId="0" borderId="19" xfId="12" applyNumberFormat="1" applyFont="1" applyFill="1" applyBorder="1" applyAlignment="1" applyProtection="1">
      <alignment horizontal="right" vertical="center"/>
      <protection hidden="1"/>
    </xf>
    <xf numFmtId="164" fontId="3" fillId="30" borderId="19" xfId="0" applyNumberFormat="1" applyFont="1" applyFill="1" applyBorder="1" applyAlignment="1" applyProtection="1">
      <alignment horizontal="center" vertical="center"/>
      <protection hidden="1"/>
    </xf>
    <xf numFmtId="169" fontId="59" fillId="30" borderId="16" xfId="12" applyNumberFormat="1" applyFont="1" applyFill="1" applyBorder="1" applyAlignment="1" applyProtection="1">
      <alignment horizontal="right" vertical="center"/>
      <protection hidden="1"/>
    </xf>
    <xf numFmtId="169" fontId="59" fillId="30" borderId="14" xfId="12" applyNumberFormat="1" applyFont="1" applyFill="1" applyBorder="1" applyAlignment="1" applyProtection="1">
      <alignment horizontal="right" vertical="center"/>
      <protection hidden="1"/>
    </xf>
    <xf numFmtId="169" fontId="59" fillId="30" borderId="15" xfId="12" applyNumberFormat="1" applyFont="1" applyFill="1" applyBorder="1" applyAlignment="1" applyProtection="1">
      <alignment horizontal="right" vertical="center"/>
      <protection hidden="1"/>
    </xf>
    <xf numFmtId="0" fontId="3" fillId="31" borderId="78" xfId="0" applyFont="1" applyFill="1" applyBorder="1" applyAlignment="1" applyProtection="1">
      <alignment horizontal="left" vertical="center"/>
    </xf>
    <xf numFmtId="0" fontId="3" fillId="31" borderId="79" xfId="0" applyFont="1" applyFill="1" applyBorder="1" applyAlignment="1" applyProtection="1">
      <alignment horizontal="left" vertical="center"/>
    </xf>
    <xf numFmtId="0" fontId="3" fillId="31" borderId="80" xfId="0" applyFont="1" applyFill="1" applyBorder="1" applyAlignment="1" applyProtection="1">
      <alignment horizontal="left" vertical="center"/>
    </xf>
    <xf numFmtId="0" fontId="74" fillId="19" borderId="0" xfId="16" applyFont="1" applyFill="1" applyAlignment="1" applyProtection="1">
      <alignment horizontal="left" vertical="center" wrapText="1"/>
      <protection hidden="1"/>
    </xf>
    <xf numFmtId="0" fontId="49" fillId="0" borderId="0" xfId="16" applyFont="1" applyAlignment="1" applyProtection="1">
      <alignment horizontal="left" vertical="center"/>
      <protection hidden="1"/>
    </xf>
    <xf numFmtId="0" fontId="70" fillId="0" borderId="0" xfId="17" applyFont="1" applyAlignment="1" applyProtection="1">
      <alignment horizontal="left" vertical="center"/>
      <protection hidden="1"/>
    </xf>
    <xf numFmtId="0" fontId="21" fillId="0" borderId="24" xfId="18" applyFont="1" applyFill="1" applyBorder="1" applyAlignment="1" applyProtection="1">
      <alignment horizontal="left" vertical="center"/>
      <protection locked="0"/>
    </xf>
    <xf numFmtId="0" fontId="69" fillId="0" borderId="24" xfId="20" applyFill="1" applyBorder="1" applyAlignment="1" applyProtection="1">
      <alignment horizontal="left" vertical="center"/>
      <protection locked="0"/>
    </xf>
    <xf numFmtId="0" fontId="21" fillId="0" borderId="0" xfId="16" applyFont="1" applyAlignment="1" applyProtection="1">
      <alignment horizontal="left" vertical="center"/>
      <protection hidden="1"/>
    </xf>
    <xf numFmtId="0" fontId="69" fillId="0" borderId="91" xfId="20" applyFont="1" applyFill="1" applyBorder="1" applyAlignment="1" applyProtection="1">
      <alignment horizontal="center" vertical="center"/>
      <protection locked="0"/>
    </xf>
    <xf numFmtId="0" fontId="21" fillId="0" borderId="92" xfId="18" applyFont="1" applyFill="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84" fillId="0" borderId="0" xfId="16" applyFont="1" applyAlignment="1" applyProtection="1">
      <alignment horizontal="left" vertical="center"/>
      <protection hidden="1"/>
    </xf>
    <xf numFmtId="0" fontId="21" fillId="31" borderId="24" xfId="18" applyFont="1" applyFill="1" applyBorder="1" applyAlignment="1" applyProtection="1">
      <alignment horizontal="left" vertical="center"/>
    </xf>
    <xf numFmtId="49" fontId="21" fillId="19" borderId="24" xfId="23" applyNumberFormat="1" applyFont="1" applyFill="1" applyBorder="1" applyAlignment="1" applyProtection="1">
      <alignment horizontal="center" vertical="center"/>
      <protection locked="0"/>
    </xf>
    <xf numFmtId="0" fontId="21" fillId="19" borderId="0" xfId="16" applyFont="1" applyFill="1" applyAlignment="1" applyProtection="1">
      <alignment horizontal="left" wrapText="1"/>
      <protection hidden="1"/>
    </xf>
    <xf numFmtId="0" fontId="21" fillId="19" borderId="24" xfId="18" applyFont="1" applyFill="1" applyBorder="1" applyAlignment="1" applyProtection="1">
      <alignment horizontal="left" vertical="top" wrapText="1"/>
      <protection locked="0"/>
    </xf>
    <xf numFmtId="0" fontId="3" fillId="0" borderId="0" xfId="16" applyFont="1" applyAlignment="1" applyProtection="1">
      <alignment horizontal="left" vertical="center" wrapText="1"/>
      <protection hidden="1"/>
    </xf>
    <xf numFmtId="0" fontId="21" fillId="0" borderId="0" xfId="16" applyFont="1" applyAlignment="1" applyProtection="1">
      <alignment horizontal="left" vertical="center" wrapText="1"/>
      <protection hidden="1"/>
    </xf>
    <xf numFmtId="0" fontId="3" fillId="0" borderId="0" xfId="0" applyFont="1" applyAlignment="1" applyProtection="1">
      <alignment horizontal="center" vertical="center"/>
      <protection hidden="1"/>
    </xf>
    <xf numFmtId="169" fontId="21" fillId="19" borderId="24" xfId="23" applyNumberFormat="1" applyFont="1" applyFill="1" applyBorder="1" applyAlignment="1" applyProtection="1">
      <alignment horizontal="center" vertical="center"/>
      <protection locked="0"/>
    </xf>
    <xf numFmtId="0" fontId="21" fillId="19" borderId="24" xfId="18" applyFont="1" applyFill="1" applyBorder="1" applyAlignment="1" applyProtection="1">
      <alignment horizontal="left" vertical="center"/>
      <protection locked="0"/>
    </xf>
    <xf numFmtId="0" fontId="26" fillId="19" borderId="0" xfId="16" applyFont="1" applyFill="1" applyAlignment="1" applyProtection="1">
      <alignment horizontal="left" vertical="center" wrapText="1"/>
      <protection hidden="1"/>
    </xf>
    <xf numFmtId="0" fontId="84" fillId="19" borderId="0" xfId="16" applyFont="1" applyFill="1" applyAlignment="1" applyProtection="1">
      <alignment horizontal="left" vertical="center"/>
      <protection hidden="1"/>
    </xf>
    <xf numFmtId="0" fontId="21" fillId="0" borderId="24" xfId="19" applyFont="1" applyBorder="1" applyAlignment="1" applyProtection="1">
      <alignment horizontal="center" vertical="center" wrapText="1"/>
      <protection locked="0" hidden="1"/>
    </xf>
    <xf numFmtId="0" fontId="26" fillId="2" borderId="24" xfId="19" applyFont="1" applyFill="1" applyBorder="1" applyAlignment="1" applyProtection="1">
      <alignment horizontal="center" vertical="center" wrapText="1"/>
      <protection hidden="1"/>
    </xf>
    <xf numFmtId="0" fontId="21" fillId="0" borderId="24" xfId="19" applyFont="1" applyBorder="1" applyAlignment="1" applyProtection="1">
      <alignment horizontal="left" vertical="center" wrapText="1"/>
      <protection locked="0" hidden="1"/>
    </xf>
    <xf numFmtId="0" fontId="60" fillId="19" borderId="0" xfId="16" applyFont="1" applyFill="1" applyAlignment="1" applyProtection="1">
      <alignment horizontal="left" vertical="center" wrapText="1"/>
      <protection hidden="1"/>
    </xf>
    <xf numFmtId="0" fontId="21" fillId="19" borderId="24" xfId="18" applyFont="1" applyFill="1" applyBorder="1" applyAlignment="1" applyProtection="1">
      <alignment horizontal="left" vertical="top"/>
      <protection locked="0"/>
    </xf>
    <xf numFmtId="0" fontId="82" fillId="2" borderId="0" xfId="16" applyFont="1" applyFill="1" applyAlignment="1" applyProtection="1">
      <alignment horizontal="center" vertical="center" wrapText="1"/>
      <protection hidden="1"/>
    </xf>
    <xf numFmtId="0" fontId="82" fillId="2" borderId="81" xfId="16" applyFont="1" applyFill="1" applyBorder="1" applyAlignment="1" applyProtection="1">
      <alignment horizontal="center" vertical="center" wrapText="1"/>
      <protection hidden="1"/>
    </xf>
    <xf numFmtId="0" fontId="72" fillId="0" borderId="7" xfId="25" applyFont="1" applyBorder="1" applyAlignment="1" applyProtection="1">
      <alignment horizontal="justify" vertical="center" wrapText="1"/>
      <protection hidden="1"/>
    </xf>
    <xf numFmtId="0" fontId="72" fillId="0" borderId="74" xfId="25" applyFont="1" applyBorder="1" applyAlignment="1" applyProtection="1">
      <alignment horizontal="justify" vertical="center" wrapText="1"/>
      <protection hidden="1"/>
    </xf>
    <xf numFmtId="0" fontId="72" fillId="0" borderId="75" xfId="25" applyFont="1" applyBorder="1" applyAlignment="1" applyProtection="1">
      <alignment horizontal="justify" vertical="center" wrapText="1"/>
      <protection hidden="1"/>
    </xf>
    <xf numFmtId="0" fontId="72" fillId="0" borderId="76" xfId="25" applyFont="1" applyBorder="1" applyAlignment="1" applyProtection="1">
      <alignment horizontal="justify" vertical="center" wrapText="1"/>
      <protection hidden="1"/>
    </xf>
    <xf numFmtId="0" fontId="72" fillId="0" borderId="0" xfId="25" applyFont="1" applyAlignment="1" applyProtection="1">
      <alignment horizontal="justify" vertical="center" wrapText="1"/>
      <protection hidden="1"/>
    </xf>
    <xf numFmtId="0" fontId="72" fillId="0" borderId="77" xfId="25" applyFont="1" applyBorder="1" applyAlignment="1" applyProtection="1">
      <alignment horizontal="justify" vertical="center" wrapText="1"/>
      <protection hidden="1"/>
    </xf>
    <xf numFmtId="0" fontId="72" fillId="0" borderId="2" xfId="25" applyFont="1" applyBorder="1" applyAlignment="1" applyProtection="1">
      <alignment horizontal="justify" vertical="center" wrapText="1"/>
      <protection hidden="1"/>
    </xf>
    <xf numFmtId="0" fontId="72" fillId="0" borderId="81" xfId="25" applyFont="1" applyBorder="1" applyAlignment="1" applyProtection="1">
      <alignment horizontal="justify" vertical="center" wrapText="1"/>
      <protection hidden="1"/>
    </xf>
    <xf numFmtId="0" fontId="72" fillId="0" borderId="5" xfId="25" applyFont="1" applyBorder="1" applyAlignment="1" applyProtection="1">
      <alignment horizontal="justify" vertical="center" wrapText="1"/>
      <protection hidden="1"/>
    </xf>
    <xf numFmtId="3" fontId="21" fillId="19" borderId="24" xfId="16" applyNumberFormat="1" applyFont="1" applyFill="1" applyBorder="1" applyAlignment="1" applyProtection="1">
      <alignment horizontal="center" vertical="center"/>
      <protection locked="0"/>
    </xf>
    <xf numFmtId="0" fontId="21" fillId="19" borderId="0" xfId="16" applyFont="1" applyFill="1" applyAlignment="1" applyProtection="1">
      <alignment horizontal="left" vertical="center"/>
      <protection hidden="1"/>
    </xf>
    <xf numFmtId="49" fontId="38" fillId="9" borderId="3" xfId="28" applyNumberFormat="1" applyFont="1" applyFill="1" applyBorder="1" applyAlignment="1">
      <alignment horizontal="left" vertical="center" wrapText="1"/>
    </xf>
    <xf numFmtId="0" fontId="36" fillId="19" borderId="84" xfId="2" applyFont="1" applyFill="1" applyBorder="1" applyAlignment="1" applyProtection="1">
      <alignment horizontal="center" vertical="center"/>
      <protection hidden="1"/>
    </xf>
    <xf numFmtId="0" fontId="36" fillId="14" borderId="36" xfId="2" applyFont="1" applyFill="1" applyBorder="1" applyAlignment="1" applyProtection="1">
      <alignment horizontal="left" vertical="center" wrapText="1"/>
      <protection hidden="1"/>
    </xf>
    <xf numFmtId="0" fontId="36" fillId="14" borderId="20" xfId="2" applyFont="1" applyFill="1" applyBorder="1" applyAlignment="1" applyProtection="1">
      <alignment horizontal="left" vertical="center" wrapText="1"/>
      <protection hidden="1"/>
    </xf>
    <xf numFmtId="0" fontId="36" fillId="14" borderId="37" xfId="2" applyFont="1" applyFill="1" applyBorder="1" applyAlignment="1" applyProtection="1">
      <alignment horizontal="left" vertical="center" wrapText="1"/>
      <protection hidden="1"/>
    </xf>
    <xf numFmtId="0" fontId="26" fillId="28" borderId="0" xfId="2" applyFont="1" applyFill="1" applyAlignment="1" applyProtection="1">
      <alignment horizontal="left" vertical="center" wrapText="1"/>
      <protection hidden="1"/>
    </xf>
    <xf numFmtId="0" fontId="3" fillId="0" borderId="67" xfId="2" applyFont="1" applyBorder="1" applyAlignment="1" applyProtection="1">
      <alignment vertical="center"/>
      <protection locked="0"/>
    </xf>
    <xf numFmtId="0" fontId="0" fillId="0" borderId="68" xfId="0" applyBorder="1" applyAlignment="1">
      <alignment vertical="center"/>
    </xf>
    <xf numFmtId="0" fontId="0" fillId="0" borderId="69" xfId="0" applyBorder="1" applyAlignment="1">
      <alignment vertical="center"/>
    </xf>
    <xf numFmtId="0" fontId="49" fillId="0" borderId="14" xfId="2" applyFont="1" applyBorder="1" applyAlignment="1">
      <alignment horizontal="center"/>
    </xf>
    <xf numFmtId="0" fontId="12" fillId="28" borderId="36" xfId="2" applyFont="1" applyFill="1" applyBorder="1" applyAlignment="1" applyProtection="1">
      <alignment horizontal="center" vertical="center" wrapText="1"/>
      <protection hidden="1"/>
    </xf>
    <xf numFmtId="0" fontId="12" fillId="28" borderId="20" xfId="2" applyFont="1" applyFill="1" applyBorder="1" applyAlignment="1" applyProtection="1">
      <alignment horizontal="center" vertical="center" wrapText="1"/>
      <protection hidden="1"/>
    </xf>
    <xf numFmtId="0" fontId="12" fillId="28" borderId="19" xfId="2" applyFont="1" applyFill="1" applyBorder="1" applyAlignment="1" applyProtection="1">
      <alignment horizontal="center" vertical="center" wrapText="1"/>
      <protection hidden="1"/>
    </xf>
    <xf numFmtId="175" fontId="36" fillId="14" borderId="36" xfId="2" applyNumberFormat="1" applyFont="1" applyFill="1" applyBorder="1" applyAlignment="1" applyProtection="1">
      <alignment horizontal="center" vertical="center" wrapText="1"/>
      <protection hidden="1"/>
    </xf>
    <xf numFmtId="175" fontId="36" fillId="14" borderId="37" xfId="2" applyNumberFormat="1" applyFont="1" applyFill="1" applyBorder="1" applyAlignment="1" applyProtection="1">
      <alignment horizontal="center" vertical="center" wrapText="1"/>
      <protection hidden="1"/>
    </xf>
    <xf numFmtId="175" fontId="36" fillId="14" borderId="20" xfId="2" applyNumberFormat="1" applyFont="1" applyFill="1" applyBorder="1" applyAlignment="1" applyProtection="1">
      <alignment horizontal="center" vertical="center" wrapText="1"/>
      <protection hidden="1"/>
    </xf>
    <xf numFmtId="0" fontId="12" fillId="28" borderId="37" xfId="2" applyFont="1" applyFill="1" applyBorder="1" applyAlignment="1" applyProtection="1">
      <alignment horizontal="center" vertical="center" wrapText="1"/>
      <protection hidden="1"/>
    </xf>
    <xf numFmtId="0" fontId="36" fillId="14" borderId="36" xfId="2" applyFont="1" applyFill="1" applyBorder="1" applyAlignment="1" applyProtection="1">
      <alignment horizontal="center" vertical="center" wrapText="1"/>
      <protection hidden="1"/>
    </xf>
    <xf numFmtId="0" fontId="36" fillId="14" borderId="20" xfId="2" applyFont="1" applyFill="1" applyBorder="1" applyAlignment="1" applyProtection="1">
      <alignment horizontal="center" vertical="center" wrapText="1"/>
      <protection hidden="1"/>
    </xf>
    <xf numFmtId="0" fontId="21" fillId="0" borderId="67" xfId="2" applyFont="1" applyBorder="1" applyAlignment="1" applyProtection="1">
      <alignment horizontal="left" vertical="center"/>
      <protection locked="0"/>
    </xf>
    <xf numFmtId="0" fontId="21" fillId="0" borderId="68" xfId="2" applyFont="1" applyBorder="1" applyAlignment="1" applyProtection="1">
      <alignment horizontal="left" vertical="center"/>
      <protection locked="0"/>
    </xf>
    <xf numFmtId="0" fontId="21" fillId="0" borderId="69" xfId="2" applyFont="1" applyBorder="1" applyAlignment="1" applyProtection="1">
      <alignment horizontal="left" vertical="center"/>
      <protection locked="0"/>
    </xf>
    <xf numFmtId="3" fontId="21" fillId="14" borderId="0" xfId="2" applyNumberFormat="1" applyFont="1" applyFill="1" applyAlignment="1">
      <alignment horizontal="left" vertical="center" wrapText="1"/>
    </xf>
    <xf numFmtId="0" fontId="0" fillId="0" borderId="0" xfId="0" applyAlignment="1">
      <alignment vertical="center" wrapText="1"/>
    </xf>
    <xf numFmtId="0" fontId="37" fillId="0" borderId="0" xfId="2" applyFont="1" applyAlignment="1" applyProtection="1">
      <alignment horizontal="left" vertical="center"/>
      <protection hidden="1"/>
    </xf>
    <xf numFmtId="0" fontId="21" fillId="28" borderId="0" xfId="2" applyFont="1" applyFill="1" applyAlignment="1" applyProtection="1">
      <alignment horizontal="left" vertical="center" wrapText="1"/>
      <protection hidden="1"/>
    </xf>
    <xf numFmtId="14" fontId="28" fillId="0" borderId="67" xfId="2" applyNumberFormat="1" applyFont="1" applyBorder="1" applyAlignment="1" applyProtection="1">
      <alignment horizontal="left" vertical="center" wrapText="1"/>
      <protection locked="0"/>
    </xf>
    <xf numFmtId="14" fontId="28" fillId="0" borderId="68" xfId="2" applyNumberFormat="1" applyFont="1" applyBorder="1" applyAlignment="1" applyProtection="1">
      <alignment horizontal="left" vertical="center" wrapText="1"/>
      <protection locked="0"/>
    </xf>
    <xf numFmtId="14" fontId="28" fillId="0" borderId="69" xfId="2" applyNumberFormat="1" applyFont="1" applyBorder="1" applyAlignment="1" applyProtection="1">
      <alignment horizontal="left" vertical="center" wrapText="1"/>
      <protection locked="0"/>
    </xf>
    <xf numFmtId="44" fontId="21" fillId="19" borderId="0" xfId="2" applyNumberFormat="1" applyFont="1" applyFill="1" applyAlignment="1">
      <alignment horizontal="center" vertical="center" wrapText="1"/>
    </xf>
    <xf numFmtId="44" fontId="21" fillId="14" borderId="0" xfId="2" applyNumberFormat="1" applyFont="1" applyFill="1" applyAlignment="1" applyProtection="1">
      <alignment horizontal="center" vertical="center" wrapText="1"/>
      <protection hidden="1"/>
    </xf>
    <xf numFmtId="0" fontId="21" fillId="14" borderId="0" xfId="2" applyFont="1" applyFill="1" applyAlignment="1">
      <alignment horizontal="left" vertical="center" wrapText="1"/>
    </xf>
    <xf numFmtId="44" fontId="21" fillId="14" borderId="0" xfId="2" applyNumberFormat="1" applyFont="1" applyFill="1" applyAlignment="1">
      <alignment horizontal="center" vertical="center" wrapText="1"/>
    </xf>
    <xf numFmtId="0" fontId="21" fillId="14" borderId="0" xfId="2" applyFont="1" applyFill="1" applyAlignment="1" applyProtection="1">
      <alignment horizontal="left" vertical="center" wrapText="1"/>
      <protection hidden="1"/>
    </xf>
    <xf numFmtId="0" fontId="21" fillId="14" borderId="70" xfId="2" applyFont="1" applyFill="1" applyBorder="1" applyAlignment="1" applyProtection="1">
      <alignment horizontal="left" vertical="center"/>
      <protection locked="0"/>
    </xf>
    <xf numFmtId="0" fontId="21" fillId="14" borderId="71" xfId="2" applyFont="1" applyFill="1" applyBorder="1" applyAlignment="1" applyProtection="1">
      <alignment horizontal="left" vertical="center"/>
      <protection locked="0"/>
    </xf>
    <xf numFmtId="0" fontId="21" fillId="14" borderId="72" xfId="2" applyFont="1" applyFill="1" applyBorder="1" applyAlignment="1" applyProtection="1">
      <alignment horizontal="left" vertical="center"/>
      <protection locked="0"/>
    </xf>
    <xf numFmtId="0" fontId="3" fillId="14" borderId="70" xfId="2" applyFont="1" applyFill="1" applyBorder="1" applyAlignment="1" applyProtection="1">
      <alignment horizontal="left" vertical="center"/>
      <protection locked="0"/>
    </xf>
    <xf numFmtId="0" fontId="3" fillId="14" borderId="71" xfId="2" applyFont="1" applyFill="1" applyBorder="1" applyAlignment="1" applyProtection="1">
      <alignment horizontal="left" vertical="center"/>
      <protection locked="0"/>
    </xf>
    <xf numFmtId="0" fontId="3" fillId="14" borderId="72" xfId="2" applyFont="1" applyFill="1" applyBorder="1" applyAlignment="1" applyProtection="1">
      <alignment horizontal="left" vertical="center"/>
      <protection locked="0"/>
    </xf>
    <xf numFmtId="170" fontId="26" fillId="14" borderId="70" xfId="2" applyNumberFormat="1" applyFont="1" applyFill="1" applyBorder="1" applyAlignment="1" applyProtection="1">
      <alignment horizontal="center" vertical="center" wrapText="1"/>
      <protection locked="0"/>
    </xf>
    <xf numFmtId="170" fontId="26" fillId="14" borderId="72" xfId="2" applyNumberFormat="1" applyFont="1" applyFill="1" applyBorder="1" applyAlignment="1" applyProtection="1">
      <alignment horizontal="center" vertical="center" wrapText="1"/>
      <protection locked="0"/>
    </xf>
    <xf numFmtId="0" fontId="50" fillId="0" borderId="0" xfId="2" applyFont="1" applyAlignment="1" applyProtection="1">
      <alignment horizontal="left" vertical="center" wrapText="1" indent="1"/>
      <protection hidden="1"/>
    </xf>
    <xf numFmtId="44" fontId="26" fillId="0" borderId="70" xfId="2" applyNumberFormat="1" applyFont="1" applyBorder="1" applyAlignment="1" applyProtection="1">
      <alignment horizontal="center" vertical="center" wrapText="1"/>
      <protection locked="0"/>
    </xf>
    <xf numFmtId="44" fontId="26" fillId="0" borderId="72" xfId="2" applyNumberFormat="1" applyFont="1" applyBorder="1" applyAlignment="1" applyProtection="1">
      <alignment horizontal="center" vertical="center" wrapText="1"/>
      <protection locked="0"/>
    </xf>
    <xf numFmtId="0" fontId="47" fillId="29" borderId="62" xfId="2" applyFont="1" applyFill="1" applyBorder="1" applyAlignment="1" applyProtection="1">
      <alignment horizontal="left" vertical="center" wrapText="1"/>
      <protection hidden="1"/>
    </xf>
    <xf numFmtId="0" fontId="47" fillId="29" borderId="63" xfId="2" applyFont="1" applyFill="1" applyBorder="1" applyAlignment="1" applyProtection="1">
      <alignment horizontal="left" vertical="center" wrapText="1"/>
      <protection hidden="1"/>
    </xf>
    <xf numFmtId="0" fontId="47" fillId="29" borderId="64" xfId="2" applyFont="1" applyFill="1" applyBorder="1" applyAlignment="1" applyProtection="1">
      <alignment horizontal="left" vertical="center" wrapText="1"/>
      <protection hidden="1"/>
    </xf>
    <xf numFmtId="0" fontId="47" fillId="29" borderId="59" xfId="2" applyFont="1" applyFill="1" applyBorder="1" applyAlignment="1" applyProtection="1">
      <alignment horizontal="left" vertical="center" wrapText="1"/>
      <protection hidden="1"/>
    </xf>
    <xf numFmtId="0" fontId="47" fillId="29" borderId="60" xfId="2" applyFont="1" applyFill="1" applyBorder="1" applyAlignment="1" applyProtection="1">
      <alignment horizontal="left" vertical="center" wrapText="1"/>
      <protection hidden="1"/>
    </xf>
    <xf numFmtId="0" fontId="47" fillId="29" borderId="61" xfId="2" applyFont="1" applyFill="1" applyBorder="1" applyAlignment="1" applyProtection="1">
      <alignment horizontal="left" vertical="center" wrapText="1"/>
      <protection hidden="1"/>
    </xf>
    <xf numFmtId="0" fontId="26" fillId="19" borderId="0" xfId="2" applyFont="1" applyFill="1" applyAlignment="1" applyProtection="1">
      <alignment horizontal="center" vertical="center"/>
      <protection hidden="1"/>
    </xf>
    <xf numFmtId="0" fontId="29" fillId="19" borderId="0" xfId="2" applyFont="1" applyFill="1" applyAlignment="1" applyProtection="1">
      <alignment horizontal="center" vertical="center"/>
      <protection hidden="1"/>
    </xf>
    <xf numFmtId="0" fontId="21" fillId="29" borderId="62" xfId="2" applyFont="1" applyFill="1" applyBorder="1" applyAlignment="1" applyProtection="1">
      <alignment horizontal="left" vertical="center" wrapText="1"/>
      <protection hidden="1"/>
    </xf>
    <xf numFmtId="0" fontId="21" fillId="29" borderId="63" xfId="2" applyFont="1" applyFill="1" applyBorder="1" applyAlignment="1" applyProtection="1">
      <alignment horizontal="left" vertical="center" wrapText="1"/>
      <protection hidden="1"/>
    </xf>
    <xf numFmtId="0" fontId="21" fillId="29" borderId="64" xfId="2" applyFont="1" applyFill="1" applyBorder="1" applyAlignment="1" applyProtection="1">
      <alignment horizontal="left" vertical="center" wrapText="1"/>
      <protection hidden="1"/>
    </xf>
    <xf numFmtId="0" fontId="21" fillId="29" borderId="65" xfId="2" applyFont="1" applyFill="1" applyBorder="1" applyAlignment="1" applyProtection="1">
      <alignment horizontal="left" vertical="center" wrapText="1"/>
      <protection hidden="1"/>
    </xf>
    <xf numFmtId="0" fontId="21" fillId="29" borderId="0" xfId="2" applyFont="1" applyFill="1" applyAlignment="1" applyProtection="1">
      <alignment horizontal="left" vertical="center" wrapText="1"/>
      <protection hidden="1"/>
    </xf>
    <xf numFmtId="0" fontId="21" fillId="29" borderId="66" xfId="2" applyFont="1" applyFill="1" applyBorder="1" applyAlignment="1" applyProtection="1">
      <alignment horizontal="left" vertical="center" wrapText="1"/>
      <protection hidden="1"/>
    </xf>
    <xf numFmtId="0" fontId="21" fillId="29" borderId="59" xfId="2" applyFont="1" applyFill="1" applyBorder="1" applyAlignment="1" applyProtection="1">
      <alignment horizontal="left" vertical="center" wrapText="1"/>
      <protection hidden="1"/>
    </xf>
    <xf numFmtId="0" fontId="21" fillId="29" borderId="60" xfId="2" applyFont="1" applyFill="1" applyBorder="1" applyAlignment="1" applyProtection="1">
      <alignment horizontal="left" vertical="center" wrapText="1"/>
      <protection hidden="1"/>
    </xf>
    <xf numFmtId="0" fontId="21" fillId="29" borderId="61" xfId="2" applyFont="1" applyFill="1" applyBorder="1" applyAlignment="1" applyProtection="1">
      <alignment horizontal="left" vertical="center" wrapText="1"/>
      <protection hidden="1"/>
    </xf>
    <xf numFmtId="0" fontId="21" fillId="19" borderId="0" xfId="2" applyFont="1" applyFill="1" applyAlignment="1" applyProtection="1">
      <alignment horizontal="justify" vertical="center" wrapText="1"/>
      <protection hidden="1"/>
    </xf>
    <xf numFmtId="0" fontId="21" fillId="31" borderId="70" xfId="2" applyFont="1" applyFill="1" applyBorder="1" applyAlignment="1" applyProtection="1">
      <alignment horizontal="left" vertical="center" wrapText="1"/>
      <protection locked="0" hidden="1"/>
    </xf>
    <xf numFmtId="0" fontId="21" fillId="31" borderId="71" xfId="2" applyFont="1" applyFill="1" applyBorder="1" applyAlignment="1" applyProtection="1">
      <alignment horizontal="left" vertical="center" wrapText="1"/>
      <protection locked="0" hidden="1"/>
    </xf>
    <xf numFmtId="0" fontId="21" fillId="31" borderId="72" xfId="2" applyFont="1" applyFill="1" applyBorder="1" applyAlignment="1" applyProtection="1">
      <alignment horizontal="left" vertical="center" wrapText="1"/>
      <protection locked="0" hidden="1"/>
    </xf>
    <xf numFmtId="0" fontId="36" fillId="31" borderId="83" xfId="2" applyFont="1" applyFill="1" applyBorder="1" applyAlignment="1" applyProtection="1">
      <alignment horizontal="center" vertical="center"/>
      <protection hidden="1"/>
    </xf>
    <xf numFmtId="0" fontId="52" fillId="16" borderId="0" xfId="3" applyFont="1" applyFill="1" applyAlignment="1">
      <alignment horizontal="center"/>
    </xf>
    <xf numFmtId="0" fontId="52" fillId="8" borderId="0" xfId="3" applyFont="1" applyFill="1" applyAlignment="1">
      <alignment horizontal="center"/>
    </xf>
    <xf numFmtId="0" fontId="3" fillId="32" borderId="0" xfId="3" applyFill="1" applyAlignment="1">
      <alignment horizontal="center"/>
    </xf>
    <xf numFmtId="0" fontId="86" fillId="0" borderId="101" xfId="26" applyFont="1" applyBorder="1" applyAlignment="1">
      <alignment horizontal="center" vertical="top" wrapText="1"/>
    </xf>
    <xf numFmtId="0" fontId="86" fillId="0" borderId="102" xfId="26" applyFont="1" applyBorder="1" applyAlignment="1">
      <alignment horizontal="center" vertical="top" wrapText="1"/>
    </xf>
    <xf numFmtId="0" fontId="86" fillId="0" borderId="103" xfId="26" applyFont="1" applyBorder="1" applyAlignment="1">
      <alignment horizontal="center" vertical="top" wrapText="1"/>
    </xf>
    <xf numFmtId="0" fontId="88" fillId="0" borderId="101" xfId="26" applyFont="1" applyBorder="1" applyAlignment="1">
      <alignment horizontal="left" vertical="center" wrapText="1" indent="1"/>
    </xf>
    <xf numFmtId="0" fontId="88" fillId="0" borderId="102" xfId="26" applyFont="1" applyBorder="1" applyAlignment="1">
      <alignment horizontal="left" vertical="center" wrapText="1" indent="1"/>
    </xf>
    <xf numFmtId="0" fontId="88" fillId="0" borderId="103" xfId="26" applyFont="1" applyBorder="1" applyAlignment="1">
      <alignment horizontal="left" vertical="center" wrapText="1" indent="1"/>
    </xf>
    <xf numFmtId="0" fontId="91" fillId="0" borderId="101" xfId="26" applyFont="1" applyBorder="1" applyAlignment="1">
      <alignment horizontal="center" vertical="center" wrapText="1"/>
    </xf>
    <xf numFmtId="0" fontId="88" fillId="0" borderId="103" xfId="26" applyFont="1" applyBorder="1" applyAlignment="1">
      <alignment horizontal="center" vertical="center" wrapText="1"/>
    </xf>
    <xf numFmtId="0" fontId="85" fillId="0" borderId="101" xfId="26" applyBorder="1" applyAlignment="1">
      <alignment horizontal="left" vertical="top" wrapText="1"/>
    </xf>
    <xf numFmtId="0" fontId="85" fillId="0" borderId="103" xfId="26" applyBorder="1" applyAlignment="1">
      <alignment horizontal="left" vertical="top" wrapText="1"/>
    </xf>
    <xf numFmtId="0" fontId="19" fillId="0" borderId="24" xfId="9" applyNumberFormat="1" applyFont="1" applyFill="1" applyBorder="1" applyAlignment="1" applyProtection="1">
      <alignment vertical="center"/>
    </xf>
  </cellXfs>
  <cellStyles count="31">
    <cellStyle name="CEMEUserInput" xfId="18" xr:uid="{2ECF6DC9-81C7-42AE-867E-3C299B15CDCC}"/>
    <cellStyle name="Comma" xfId="15" builtinId="3"/>
    <cellStyle name="Comma 10 2" xfId="22" xr:uid="{0C2627B3-74D7-40CC-AA81-D5FC4660BB3C}"/>
    <cellStyle name="Comma 2" xfId="9" xr:uid="{40416928-BD39-4A93-BFCD-7D0823ABF800}"/>
    <cellStyle name="Comma 2 2" xfId="11" xr:uid="{049E4056-E022-4DF4-A970-AE4740A58B83}"/>
    <cellStyle name="Comma 2 3" xfId="23" xr:uid="{4810FB47-D5EF-4220-81E5-FF4CC748AACE}"/>
    <cellStyle name="Comma 3" xfId="12" xr:uid="{42B848B0-A5A3-4798-AA22-8C3252F3F067}"/>
    <cellStyle name="Currency" xfId="13" builtinId="4"/>
    <cellStyle name="Currency 2" xfId="10" xr:uid="{382FFAC1-8015-4C13-B30F-1C06F5AF1A34}"/>
    <cellStyle name="Hyperlink" xfId="20" builtinId="8"/>
    <cellStyle name="Hyperlink 2 2 2" xfId="30" xr:uid="{52447404-68C3-4375-B7AD-EA88A15B4759}"/>
    <cellStyle name="Normal" xfId="0" builtinId="0"/>
    <cellStyle name="Normal 11" xfId="26" xr:uid="{90FD045C-049A-4E30-8BF3-BCE6202EDA64}"/>
    <cellStyle name="Normal 14" xfId="24" xr:uid="{C4AAFEE4-24C0-4356-AE8C-FC6DA6D6ED17}"/>
    <cellStyle name="Normal 16" xfId="28" xr:uid="{FDD813C9-866A-45EC-84EA-7BE912398E98}"/>
    <cellStyle name="Normal 2" xfId="2" xr:uid="{BA187453-9046-4F42-BFE3-CC5B53615C31}"/>
    <cellStyle name="Normal 2 2" xfId="5" xr:uid="{4556BEEC-447B-4ACF-9331-CA85868B05BC}"/>
    <cellStyle name="Normal 2 2 2 2 2" xfId="17" xr:uid="{CA7A2DD7-C954-4573-B0D3-42FF777CF26A}"/>
    <cellStyle name="Normal 2 2 6" xfId="16" xr:uid="{62164B43-EB07-408F-BB8F-3FB8AAC3B592}"/>
    <cellStyle name="Normal 2 2 6 2" xfId="19" xr:uid="{BE677908-FBF5-4414-BA87-9716C3E8011F}"/>
    <cellStyle name="Normal 2 2 6 3" xfId="27" xr:uid="{DB9CCE69-BD4B-4F00-8C5F-74F728A837F6}"/>
    <cellStyle name="Normal 2 3" xfId="21" xr:uid="{02F8EBC0-EE6F-4F7F-BA72-51CF30D8F04E}"/>
    <cellStyle name="Normal 2 3 2" xfId="25" xr:uid="{6C65D680-BDCC-495D-9954-1527D977E55E}"/>
    <cellStyle name="Normal 2 4" xfId="4" xr:uid="{F2DED0A7-8A5F-4A39-9CE8-C07FF659DF68}"/>
    <cellStyle name="Normal 2 7 2" xfId="29" xr:uid="{170D9010-BC68-4008-8F9C-B40909F2369F}"/>
    <cellStyle name="Normal 3" xfId="3" xr:uid="{ED7BC8D8-91C0-4056-9D4B-CD8F09E14B3F}"/>
    <cellStyle name="Normal 3 2" xfId="14" xr:uid="{B3993641-5EB2-4852-8DBD-C6BD139890A5}"/>
    <cellStyle name="Normal 6" xfId="7" xr:uid="{8AA54C07-D791-42D3-84D4-A93FD510156F}"/>
    <cellStyle name="Percent" xfId="1" builtinId="5"/>
    <cellStyle name="SectionHeader" xfId="6" xr:uid="{7C953C64-B708-4019-BA41-655E4625E9DD}"/>
    <cellStyle name="UserInput" xfId="8" xr:uid="{59DF4EA1-A033-45E3-9C39-EC1766E481CC}"/>
  </cellStyles>
  <dxfs count="179">
    <dxf>
      <border outline="0">
        <right style="thin">
          <color indexed="64"/>
        </right>
      </border>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
      <numFmt numFmtId="0" formatCode="General"/>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6" tint="0.79998168889431442"/>
        </patternFill>
      </fill>
    </dxf>
    <dxf>
      <fill>
        <patternFill patternType="solid">
          <fgColor indexed="64"/>
          <bgColor theme="6" tint="0.79998168889431442"/>
        </patternFill>
      </fill>
    </dxf>
    <dxf>
      <alignment horizontal="general" vertical="top" textRotation="0" wrapText="1" indent="0" justifyLastLine="0" shrinkToFit="0" readingOrder="0"/>
    </dxf>
    <dxf>
      <numFmt numFmtId="0" formatCode="General"/>
      <fill>
        <patternFill patternType="none">
          <fgColor indexed="64"/>
          <bgColor auto="1"/>
        </patternFill>
      </fill>
    </dxf>
    <dxf>
      <numFmt numFmtId="169" formatCode="_(* #,##0_);_(* \(#,##0\);_(* &quot;-&quot;??_);_(@_)"/>
      <fill>
        <patternFill patternType="none">
          <fgColor indexed="64"/>
          <bgColor auto="1"/>
        </patternFill>
      </fill>
    </dxf>
    <dxf>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6" tint="-0.499984740745262"/>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6" tint="-0.499984740745262"/>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6" tint="-0.499984740745262"/>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6" tint="-0.499984740745262"/>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fgColor indexed="64"/>
          <bgColor theme="9" tint="0.79998168889431442"/>
        </patternFill>
      </fill>
    </dxf>
    <dxf>
      <fill>
        <patternFill>
          <fgColor indexed="64"/>
          <bgColor theme="9" tint="0.79998168889431442"/>
        </patternFill>
      </fill>
    </dxf>
    <dxf>
      <font>
        <strike val="0"/>
        <outline val="0"/>
        <shadow val="0"/>
        <u val="none"/>
        <vertAlign val="baseline"/>
        <sz val="11"/>
        <color auto="1"/>
        <name val="Arial"/>
        <family val="2"/>
        <scheme val="none"/>
      </font>
      <fill>
        <patternFill patternType="solid">
          <fgColor indexed="64"/>
          <bgColor theme="9" tint="0.79998168889431442"/>
        </patternFill>
      </fill>
    </dxf>
    <dxf>
      <font>
        <b val="0"/>
        <i val="0"/>
        <strike val="0"/>
        <condense val="0"/>
        <extend val="0"/>
        <outline val="0"/>
        <shadow val="0"/>
        <u val="none"/>
        <vertAlign val="baseline"/>
        <sz val="11"/>
        <color theme="1"/>
        <name val="Arial"/>
        <family val="2"/>
        <scheme val="none"/>
      </font>
      <fill>
        <patternFill patternType="solid">
          <fgColor indexed="64"/>
          <bgColor theme="7" tint="0.79998168889431442"/>
        </patternFill>
      </fill>
      <border diagonalUp="0" diagonalDown="0">
        <left style="thin">
          <color rgb="FF10A3CB"/>
        </left>
        <right style="thin">
          <color rgb="FF10A3CB"/>
        </right>
        <top style="thin">
          <color rgb="FF10A3CB"/>
        </top>
        <bottom style="thin">
          <color rgb="FF10A3CB"/>
        </bottom>
        <vertical/>
        <horizontal/>
      </border>
    </dxf>
    <dxf>
      <fill>
        <patternFill patternType="solid">
          <fgColor indexed="64"/>
          <bgColor theme="7" tint="0.79998168889431442"/>
        </patternFill>
      </fill>
      <border diagonalUp="0" diagonalDown="0">
        <left style="thin">
          <color rgb="FF10A3CB"/>
        </left>
        <right style="thin">
          <color rgb="FF10A3CB"/>
        </right>
        <top style="thin">
          <color rgb="FF10A3CB"/>
        </top>
        <bottom style="thin">
          <color rgb="FF10A3CB"/>
        </bottom>
        <vertical/>
        <horizontal/>
      </border>
    </dxf>
    <dxf>
      <fill>
        <patternFill patternType="solid">
          <fgColor indexed="64"/>
          <bgColor theme="7" tint="0.79998168889431442"/>
        </patternFill>
      </fill>
      <border diagonalUp="0" diagonalDown="0">
        <left style="thin">
          <color rgb="FF10A3CB"/>
        </left>
        <right style="thin">
          <color rgb="FF10A3CB"/>
        </right>
        <top style="thin">
          <color rgb="FF10A3CB"/>
        </top>
        <bottom style="thin">
          <color rgb="FF10A3CB"/>
        </bottom>
        <vertical/>
        <horizontal/>
      </border>
    </dxf>
    <dxf>
      <fill>
        <patternFill patternType="solid">
          <fgColor indexed="64"/>
          <bgColor theme="7" tint="0.79998168889431442"/>
        </patternFill>
      </fill>
      <border diagonalUp="0" diagonalDown="0">
        <left style="thin">
          <color rgb="FF10A3CB"/>
        </left>
        <right style="thin">
          <color rgb="FF10A3CB"/>
        </right>
        <top style="thin">
          <color rgb="FF10A3CB"/>
        </top>
        <bottom style="thin">
          <color rgb="FF10A3CB"/>
        </bottom>
        <vertical/>
        <horizontal/>
      </border>
    </dxf>
    <dxf>
      <border outline="0">
        <bottom style="thin">
          <color rgb="FF10A3CB"/>
        </bottom>
      </border>
    </dxf>
    <dxf>
      <fill>
        <patternFill patternType="solid">
          <fgColor indexed="64"/>
          <bgColor theme="7" tint="0.79998168889431442"/>
        </patternFill>
      </fill>
    </dxf>
    <dxf>
      <font>
        <strike val="0"/>
        <outline val="0"/>
        <shadow val="0"/>
        <u val="none"/>
        <vertAlign val="baseline"/>
        <sz val="11"/>
        <color auto="1"/>
        <name val="Arial"/>
        <family val="2"/>
        <scheme val="none"/>
      </font>
      <fill>
        <patternFill patternType="solid">
          <fgColor indexed="64"/>
          <bgColor theme="7" tint="0.79998168889431442"/>
        </patternFill>
      </fill>
    </dxf>
    <dxf>
      <numFmt numFmtId="0" formatCode="General"/>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ont>
        <b/>
        <i val="0"/>
        <strike val="0"/>
        <condense val="0"/>
        <extend val="0"/>
        <outline val="0"/>
        <shadow val="0"/>
        <u val="none"/>
        <vertAlign val="baseline"/>
        <sz val="11"/>
        <color theme="1"/>
        <name val="Calibri"/>
        <scheme val="minor"/>
      </font>
      <fill>
        <patternFill patternType="solid">
          <fgColor indexed="64"/>
          <bgColor rgb="FFD5D5D5"/>
        </patternFill>
      </fill>
      <border diagonalUp="0" diagonalDown="0" outline="0">
        <left style="thin">
          <color indexed="64"/>
        </left>
        <right style="thin">
          <color indexed="64"/>
        </right>
        <top/>
        <bottom/>
      </border>
    </dxf>
    <dxf>
      <fill>
        <patternFill patternType="solid">
          <fgColor indexed="64"/>
          <bgColor theme="4" tint="0.79998168889431442"/>
        </patternFill>
      </fill>
    </dxf>
    <dxf>
      <font>
        <b/>
        <i val="0"/>
        <strike val="0"/>
        <condense val="0"/>
        <extend val="0"/>
        <outline val="0"/>
        <shadow val="0"/>
        <u val="none"/>
        <vertAlign val="baseline"/>
        <sz val="11"/>
        <color theme="1"/>
        <name val="Calibri"/>
        <scheme val="minor"/>
      </font>
      <fill>
        <patternFill patternType="solid">
          <fgColor indexed="64"/>
          <bgColor rgb="FFD5D5D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6"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66" formatCode="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9" tint="-0.249977111117893"/>
        <name val="Arial"/>
        <family val="2"/>
        <scheme val="none"/>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7" tint="-0.499984740745262"/>
        <name val="Arial"/>
        <family val="2"/>
        <scheme val="none"/>
      </font>
      <numFmt numFmtId="164" formatCode="&quot;$&quot;#,##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7" tint="-0.499984740745262"/>
        <name val="Arial"/>
        <family val="2"/>
        <scheme val="none"/>
      </font>
      <numFmt numFmtId="164" formatCode="&quot;$&quot;#,##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7" tint="-0.499984740745262"/>
        <name val="Arial"/>
        <family val="2"/>
        <scheme val="none"/>
      </font>
      <numFmt numFmtId="164" formatCode="&quot;$&quot;#,##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7" tint="-0.499984740745262"/>
        <name val="Arial"/>
        <family val="2"/>
        <scheme val="none"/>
      </font>
      <numFmt numFmtId="164" formatCode="&quot;$&quot;#,##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7" tint="-0.499984740745262"/>
        <name val="Arial"/>
        <family val="2"/>
        <scheme val="none"/>
      </font>
      <numFmt numFmtId="164" formatCode="&quot;$&quot;#,##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7" tint="-0.499984740745262"/>
        <name val="Arial"/>
        <family val="2"/>
        <scheme val="none"/>
      </font>
      <numFmt numFmtId="164" formatCode="&quot;$&quot;#,##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Arial"/>
        <family val="2"/>
        <scheme val="none"/>
      </font>
      <numFmt numFmtId="165" formatCode="#,##0.0"/>
      <fill>
        <patternFill patternType="solid">
          <fgColor indexed="64"/>
          <bgColor rgb="FFE5F4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rgb="FFE5F4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Arial"/>
        <family val="2"/>
        <scheme val="none"/>
      </font>
      <numFmt numFmtId="165" formatCode="#,##0.0"/>
      <fill>
        <patternFill patternType="solid">
          <fgColor indexed="64"/>
          <bgColor rgb="FFE5F4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rgb="FFE5F4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9"/>
        <color theme="0"/>
        <name val="Arial"/>
        <family val="2"/>
        <scheme val="none"/>
      </font>
      <numFmt numFmtId="3" formatCode="#,##0"/>
      <fill>
        <patternFill patternType="solid">
          <fgColor indexed="64"/>
          <bgColor rgb="FF004F6C"/>
        </patternFill>
      </fill>
      <alignment horizontal="center" vertical="center" textRotation="0" wrapText="0" indent="0" justifyLastLine="0" shrinkToFit="0" readingOrder="0"/>
      <border diagonalUp="0" diagonalDown="0">
        <left style="thin">
          <color theme="0"/>
        </left>
        <right style="thin">
          <color indexed="64"/>
        </right>
        <top style="thin">
          <color theme="0"/>
        </top>
        <bottom/>
      </border>
      <protection locked="1"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0" tint="-4.9989318521683403E-2"/>
        <name val="Arial"/>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1" hidden="0"/>
    </dxf>
    <dxf>
      <font>
        <b val="0"/>
        <i val="0"/>
        <strike val="0"/>
        <condense val="0"/>
        <extend val="0"/>
        <outline val="0"/>
        <shadow val="0"/>
        <u val="none"/>
        <vertAlign val="baseline"/>
        <sz val="10"/>
        <color theme="1"/>
        <name val="Arial"/>
        <family val="2"/>
        <scheme val="none"/>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rgb="FFE5F4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Arial"/>
        <family val="2"/>
        <scheme val="none"/>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Arial"/>
        <family val="2"/>
        <scheme val="none"/>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8"/>
        <color theme="0" tint="-4.9989318521683403E-2"/>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protection locked="1" hidden="0"/>
    </dxf>
    <dxf>
      <font>
        <b val="0"/>
        <i val="0"/>
        <strike val="0"/>
        <condense val="0"/>
        <extend val="0"/>
        <outline val="0"/>
        <shadow val="0"/>
        <u val="none"/>
        <vertAlign val="baseline"/>
        <sz val="8"/>
        <color theme="0"/>
        <name val="Arial"/>
        <family val="2"/>
        <scheme val="none"/>
      </font>
      <fill>
        <patternFill patternType="solid">
          <fgColor indexed="64"/>
          <bgColor rgb="FF004F6C"/>
        </patternFill>
      </fill>
      <alignment horizontal="center" vertical="center" textRotation="0" wrapText="1" indent="0" justifyLastLine="0" shrinkToFit="0" readingOrder="0"/>
      <border diagonalUp="0" diagonalDown="0">
        <left style="thin">
          <color indexed="64"/>
        </left>
        <right/>
        <top/>
        <bottom/>
        <vertical/>
        <horizontal/>
      </border>
      <protection locked="1" hidden="0"/>
    </dxf>
    <dxf>
      <border outline="0">
        <top style="thin">
          <color theme="0"/>
        </top>
        <bottom style="medium">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0"/>
        <name val="Arial"/>
        <family val="2"/>
        <scheme val="none"/>
      </font>
      <fill>
        <patternFill patternType="solid">
          <fgColor indexed="64"/>
          <bgColor rgb="FF046A38"/>
        </patternFill>
      </fill>
      <alignment horizontal="general" vertical="center" textRotation="0" wrapText="1" indent="0" justifyLastLine="0" shrinkToFit="0" readingOrder="0"/>
      <protection locked="1" hidden="0"/>
    </dxf>
    <dxf>
      <font>
        <color auto="1"/>
      </font>
      <fill>
        <patternFill>
          <bgColor theme="0"/>
        </patternFill>
      </fill>
    </dxf>
    <dxf>
      <font>
        <b val="0"/>
        <i val="0"/>
        <strike val="0"/>
        <condense val="0"/>
        <extend val="0"/>
        <outline val="0"/>
        <shadow val="0"/>
        <u val="none"/>
        <vertAlign val="baseline"/>
        <sz val="11"/>
        <color theme="0"/>
        <name val="Arial"/>
        <family val="2"/>
        <scheme val="none"/>
      </font>
      <numFmt numFmtId="164" formatCode="&quot;$&quot;#,##0"/>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164" formatCode="&quot;$&quot;#,##0"/>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0" formatCode="General"/>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0" formatCode="General"/>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0" formatCode="General"/>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0" formatCode="General"/>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0" formatCode="General"/>
      <fill>
        <patternFill patternType="solid">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1"/>
    </dxf>
    <dxf>
      <font>
        <color theme="0"/>
        <name val="Arial"/>
        <family val="2"/>
        <scheme val="none"/>
      </font>
      <numFmt numFmtId="0" formatCode="General"/>
      <fill>
        <patternFill patternType="solid">
          <fgColor indexed="64"/>
          <bgColor theme="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theme="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protection locked="1" hidden="1"/>
    </dxf>
    <dxf>
      <font>
        <b val="0"/>
        <i val="0"/>
        <strike val="0"/>
        <condense val="0"/>
        <extend val="0"/>
        <outline val="0"/>
        <shadow val="0"/>
        <u val="none"/>
        <vertAlign val="baseline"/>
        <sz val="11"/>
        <color theme="0"/>
        <name val="Arial"/>
        <scheme val="none"/>
      </font>
      <numFmt numFmtId="0" formatCode="General"/>
      <fill>
        <patternFill>
          <fgColor indexed="64"/>
          <bgColor theme="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1" hidden="1"/>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1" hidden="1"/>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165" formatCode="#,##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rgb="FFE6FEF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rgb="FFE6FEF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rgb="FFE6FEF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165" formatCode="#,##0.0"/>
      <fill>
        <patternFill patternType="solid">
          <fgColor indexed="64"/>
          <bgColor rgb="FFE6FEF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164" formatCode="&quot;$&quot;#,##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164" formatCode="&quot;$&quot;#,##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164" formatCode="&quot;$&quot;#,##0"/>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046A38"/>
        <name val="Arial"/>
        <family val="2"/>
        <scheme val="none"/>
      </font>
      <numFmt numFmtId="1" formatCode="0"/>
      <fill>
        <patternFill patternType="solid">
          <fgColor indexed="64"/>
          <bgColor theme="8" tint="-0.249977111117893"/>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46A38"/>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theme="0"/>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9" tint="0.79998168889431442"/>
        <name val="Arial"/>
        <family val="2"/>
        <scheme val="none"/>
      </font>
      <numFmt numFmtId="3" formatCode="#,##0"/>
      <fill>
        <patternFill patternType="solid">
          <fgColor indexed="64"/>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numFmt numFmtId="3" formatCode="#,##0"/>
      <fill>
        <patternFill patternType="solid">
          <fgColor indexed="64"/>
          <bgColor rgb="FF004F6C"/>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1" hidden="1"/>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0"/>
        <name val="Arial"/>
        <family val="2"/>
        <scheme val="none"/>
      </font>
      <fill>
        <patternFill patternType="solid">
          <fgColor indexed="64"/>
          <bgColor rgb="FF004F6C"/>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0"/>
        <name val="Arial"/>
        <scheme val="none"/>
      </font>
      <numFmt numFmtId="0" formatCode="General"/>
      <fill>
        <patternFill patternType="solid">
          <fgColor indexed="64"/>
          <bgColor rgb="FF004F6C"/>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style="thin">
          <color theme="0"/>
        </horizontal>
      </border>
      <protection locked="1" hidden="1"/>
    </dxf>
    <dxf>
      <border outline="0">
        <top style="thin">
          <color rgb="FF000000"/>
        </top>
      </border>
    </dxf>
    <dxf>
      <border diagonalUp="0" diagonalDown="0">
        <left/>
        <right/>
        <top/>
        <bottom/>
      </border>
    </dxf>
    <dxf>
      <protection locked="1" hidden="1"/>
    </dxf>
    <dxf>
      <border>
        <bottom style="thin">
          <color theme="0"/>
        </bottom>
      </border>
    </dxf>
    <dxf>
      <font>
        <b val="0"/>
        <i/>
        <strike val="0"/>
        <condense val="0"/>
        <extend val="0"/>
        <outline val="0"/>
        <shadow val="0"/>
        <u val="none"/>
        <vertAlign val="baseline"/>
        <sz val="9"/>
        <color theme="1"/>
        <name val="Arial"/>
        <scheme val="none"/>
      </font>
      <fill>
        <patternFill patternType="solid">
          <fgColor indexed="64"/>
          <bgColor theme="6" tint="0.39997558519241921"/>
        </patternFill>
      </fill>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border>
      <protection locked="1" hidden="1"/>
    </dxf>
    <dxf>
      <font>
        <color theme="8" tint="-0.24994659260841701"/>
      </font>
      <fill>
        <patternFill patternType="solid">
          <bgColor theme="8" tint="-0.24994659260841701"/>
        </patternFill>
      </fill>
      <border>
        <left style="thin">
          <color auto="1"/>
        </left>
        <right style="thin">
          <color auto="1"/>
        </right>
        <top style="thin">
          <color auto="1"/>
        </top>
        <bottom style="thin">
          <color auto="1"/>
        </bottom>
      </border>
    </dxf>
    <dxf>
      <font>
        <color theme="8" tint="-0.24994659260841701"/>
      </font>
      <fill>
        <patternFill>
          <bgColor theme="8" tint="-0.24994659260841701"/>
        </patternFill>
      </fill>
    </dxf>
    <dxf>
      <font>
        <color theme="8" tint="-0.24994659260841701"/>
      </font>
      <fill>
        <patternFill>
          <bgColor theme="8" tint="-0.24994659260841701"/>
        </patternFill>
      </fill>
    </dxf>
    <dxf>
      <font>
        <color theme="3" tint="0.39994506668294322"/>
      </font>
      <fill>
        <patternFill>
          <bgColor theme="3" tint="0.39994506668294322"/>
        </patternFill>
      </fill>
    </dxf>
    <dxf>
      <font>
        <color theme="8" tint="-0.24994659260841701"/>
      </font>
      <fill>
        <patternFill patternType="solid">
          <bgColor theme="8" tint="-0.24994659260841701"/>
        </patternFill>
      </fill>
      <border>
        <left style="thin">
          <color auto="1"/>
        </left>
        <right style="thin">
          <color auto="1"/>
        </right>
        <top style="thin">
          <color auto="1"/>
        </top>
        <bottom style="thin">
          <color auto="1"/>
        </bottom>
      </border>
    </dxf>
    <dxf>
      <font>
        <color theme="0" tint="-0.24994659260841701"/>
      </font>
      <fill>
        <patternFill>
          <bgColor theme="0" tint="-0.24994659260841701"/>
        </patternFill>
      </fill>
    </dxf>
  </dxfs>
  <tableStyles count="0" defaultTableStyle="TableStyleMedium2" defaultPivotStyle="PivotStyleLight16"/>
  <colors>
    <mruColors>
      <color rgb="FF10A3CB"/>
      <color rgb="FFE5F4FF"/>
      <color rgb="FF9ADBE8"/>
      <color rgb="FFDCF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209552</xdr:colOff>
      <xdr:row>10</xdr:row>
      <xdr:rowOff>19051</xdr:rowOff>
    </xdr:from>
    <xdr:to>
      <xdr:col>13</xdr:col>
      <xdr:colOff>552451</xdr:colOff>
      <xdr:row>266</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9552" y="2069727"/>
          <a:ext cx="8130987" cy="4588024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lang="en-CA" sz="1100">
              <a:effectLst/>
              <a:latin typeface="Arial" panose="020B0604020202020204" pitchFamily="34" charset="0"/>
              <a:ea typeface="+mn-ea"/>
              <a:cs typeface="Arial" panose="020B0604020202020204" pitchFamily="34" charset="0"/>
            </a:rPr>
            <a:t>This workbook</a:t>
          </a:r>
          <a:r>
            <a:rPr lang="en-CA" sz="1100" baseline="0">
              <a:effectLst/>
              <a:latin typeface="Arial" panose="020B0604020202020204" pitchFamily="34" charset="0"/>
              <a:ea typeface="+mn-ea"/>
              <a:cs typeface="Arial" panose="020B0604020202020204" pitchFamily="34" charset="0"/>
            </a:rPr>
            <a:t> is a required deliverable for accessing rebate funding for rebate measures within the Multi-Unit Residential Building Retrofit Program (MURBRP). </a:t>
          </a:r>
          <a:r>
            <a:rPr lang="en-CA" sz="1100" b="1" baseline="0">
              <a:solidFill>
                <a:srgbClr val="FF0000"/>
              </a:solidFill>
              <a:effectLst/>
              <a:latin typeface="Arial" panose="020B0604020202020204" pitchFamily="34" charset="0"/>
              <a:ea typeface="+mn-ea"/>
              <a:cs typeface="Arial" panose="020B0604020202020204" pitchFamily="34" charset="0"/>
            </a:rPr>
            <a:t>The rebate pathway is applicable to measures listed below, all other measures will need to follow the custom project pathway. </a:t>
          </a:r>
        </a:p>
        <a:p>
          <a:endParaRPr lang="en-CA" sz="1100" baseline="0">
            <a:effectLst/>
            <a:latin typeface="Arial" panose="020B0604020202020204" pitchFamily="34" charset="0"/>
            <a:ea typeface="Calibri"/>
            <a:cs typeface="Arial" panose="020B0604020202020204" pitchFamily="34" charset="0"/>
          </a:endParaRPr>
        </a:p>
        <a:p>
          <a:pPr marL="228600" indent="-228600">
            <a:buFont typeface="+mj-lt"/>
            <a:buAutoNum type="arabicPeriod"/>
          </a:pPr>
          <a:r>
            <a:rPr lang="en-CA" sz="1100" b="0" baseline="0">
              <a:effectLst/>
              <a:latin typeface="Arial" panose="020B0604020202020204" pitchFamily="34" charset="0"/>
              <a:ea typeface="+mn-ea"/>
              <a:cs typeface="Arial" panose="020B0604020202020204" pitchFamily="34" charset="0"/>
            </a:rPr>
            <a:t>Domestic Hot Water</a:t>
          </a:r>
          <a:endParaRPr lang="en-CA" sz="1100">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0" i="0">
              <a:effectLst/>
              <a:latin typeface="Arial" panose="020B0604020202020204" pitchFamily="34" charset="0"/>
              <a:ea typeface="+mn-ea"/>
              <a:cs typeface="Arial" panose="020B0604020202020204" pitchFamily="34" charset="0"/>
            </a:rPr>
            <a:t>Central DHW air-to-water heat</a:t>
          </a:r>
          <a:r>
            <a:rPr lang="en-CA" sz="1100" b="0" i="0" baseline="0">
              <a:effectLst/>
              <a:latin typeface="Arial" panose="020B0604020202020204" pitchFamily="34" charset="0"/>
              <a:ea typeface="+mn-ea"/>
              <a:cs typeface="Arial" panose="020B0604020202020204" pitchFamily="34" charset="0"/>
            </a:rPr>
            <a:t> pump (HP)</a:t>
          </a:r>
          <a:r>
            <a:rPr lang="en-CA" sz="1100" b="0" i="0">
              <a:effectLst/>
              <a:latin typeface="Arial" panose="020B0604020202020204" pitchFamily="34" charset="0"/>
              <a:ea typeface="+mn-ea"/>
              <a:cs typeface="Arial" panose="020B0604020202020204" pitchFamily="34" charset="0"/>
            </a:rPr>
            <a:t> water heater, NEEA Tier 2 or 3**</a:t>
          </a:r>
        </a:p>
        <a:p>
          <a:pPr marL="685800" lvl="1" indent="-228600">
            <a:buFont typeface="+mj-lt"/>
            <a:buAutoNum type="arabicPeriod"/>
          </a:pPr>
          <a:r>
            <a:rPr lang="en-CA" sz="1100" b="0" i="0">
              <a:effectLst/>
              <a:latin typeface="Arial" panose="020B0604020202020204" pitchFamily="34" charset="0"/>
              <a:ea typeface="+mn-ea"/>
              <a:cs typeface="Arial" panose="020B0604020202020204" pitchFamily="34" charset="0"/>
            </a:rPr>
            <a:t>In-suite DHW all-in-one air HP with supplemental electricity*</a:t>
          </a:r>
          <a:endParaRPr lang="en-CA">
            <a:effectLst/>
            <a:latin typeface="Arial" panose="020B0604020202020204" pitchFamily="34" charset="0"/>
            <a:cs typeface="Arial" panose="020B0604020202020204" pitchFamily="34" charset="0"/>
          </a:endParaRPr>
        </a:p>
        <a:p>
          <a:pPr marL="228600" indent="-228600">
            <a:buFont typeface="+mj-lt"/>
            <a:buAutoNum type="arabicPeriod"/>
          </a:pPr>
          <a:r>
            <a:rPr lang="en-CA" sz="1100" b="0" baseline="0">
              <a:effectLst/>
              <a:latin typeface="Arial" panose="020B0604020202020204" pitchFamily="34" charset="0"/>
              <a:ea typeface="+mn-ea"/>
              <a:cs typeface="Arial" panose="020B0604020202020204" pitchFamily="34" charset="0"/>
            </a:rPr>
            <a:t>HVAC</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US" sz="1100">
              <a:effectLst/>
              <a:latin typeface="Arial" panose="020B0604020202020204" pitchFamily="34" charset="0"/>
              <a:ea typeface="+mn-ea"/>
              <a:cs typeface="Arial" panose="020B0604020202020204" pitchFamily="34" charset="0"/>
            </a:rPr>
            <a:t>Cold</a:t>
          </a:r>
          <a:r>
            <a:rPr lang="en-US" sz="1100" baseline="0">
              <a:effectLst/>
              <a:latin typeface="Arial" panose="020B0604020202020204" pitchFamily="34" charset="0"/>
              <a:ea typeface="+mn-ea"/>
              <a:cs typeface="Arial" panose="020B0604020202020204" pitchFamily="34" charset="0"/>
            </a:rPr>
            <a:t> climate p</a:t>
          </a:r>
          <a:r>
            <a:rPr lang="en-US" sz="1100">
              <a:effectLst/>
              <a:latin typeface="Arial" panose="020B0604020202020204" pitchFamily="34" charset="0"/>
              <a:ea typeface="+mn-ea"/>
              <a:cs typeface="Arial" panose="020B0604020202020204" pitchFamily="34" charset="0"/>
            </a:rPr>
            <a:t>ackaged terminal heat pump or single packaged vertical heat pump*</a:t>
          </a:r>
        </a:p>
        <a:p>
          <a:pPr marL="685800" lvl="1" indent="-228600">
            <a:buFont typeface="+mj-lt"/>
            <a:buAutoNum type="arabicPeriod"/>
          </a:pPr>
          <a:r>
            <a:rPr lang="en-CA" sz="1100" b="0" i="0">
              <a:effectLst/>
              <a:latin typeface="Arial" panose="020B0604020202020204" pitchFamily="34" charset="0"/>
              <a:ea typeface="+mn-ea"/>
              <a:cs typeface="Arial" panose="020B0604020202020204" pitchFamily="34" charset="0"/>
            </a:rPr>
            <a:t>A</a:t>
          </a:r>
          <a:r>
            <a:rPr lang="en-CA" sz="1100" b="0" i="0" baseline="0">
              <a:effectLst/>
              <a:latin typeface="Arial" panose="020B0604020202020204" pitchFamily="34" charset="0"/>
              <a:ea typeface="+mn-ea"/>
              <a:cs typeface="Arial" panose="020B0604020202020204" pitchFamily="34" charset="0"/>
            </a:rPr>
            <a:t>ir source cold climate HP (mini-split)*</a:t>
          </a:r>
        </a:p>
        <a:p>
          <a:pPr marL="685800" lvl="1" indent="-228600">
            <a:buFont typeface="+mj-lt"/>
            <a:buAutoNum type="arabicPeriod"/>
          </a:pPr>
          <a:r>
            <a:rPr lang="en-CA" sz="1100" b="0" i="0" baseline="0">
              <a:effectLst/>
              <a:latin typeface="Arial" panose="020B0604020202020204" pitchFamily="34" charset="0"/>
              <a:ea typeface="+mn-ea"/>
              <a:cs typeface="Arial" panose="020B0604020202020204" pitchFamily="34" charset="0"/>
            </a:rPr>
            <a:t>Air source cold climate HP (multi-split)*</a:t>
          </a:r>
        </a:p>
        <a:p>
          <a:pPr marL="685800" lvl="1" indent="-228600">
            <a:buFont typeface="+mj-lt"/>
            <a:buAutoNum type="arabicPeriod"/>
          </a:pPr>
          <a:r>
            <a:rPr lang="en-CA" sz="1100" b="0" i="0" baseline="0">
              <a:effectLst/>
              <a:latin typeface="Arial" panose="020B0604020202020204" pitchFamily="34" charset="0"/>
              <a:ea typeface="+mn-ea"/>
              <a:cs typeface="Arial" panose="020B0604020202020204" pitchFamily="34" charset="0"/>
            </a:rPr>
            <a:t>Central air source cold climate HP (multi-split or variable refrigerant flow, outdoor unit located in common area serving multiple suites)*</a:t>
          </a:r>
        </a:p>
        <a:p>
          <a:pPr marL="685800" lvl="1" indent="-228600">
            <a:buFont typeface="+mj-lt"/>
            <a:buAutoNum type="arabicPeriod"/>
          </a:pPr>
          <a:r>
            <a:rPr lang="en-CA" sz="1100" b="0" i="0" baseline="0">
              <a:effectLst/>
              <a:latin typeface="Arial" panose="020B0604020202020204" pitchFamily="34" charset="0"/>
              <a:ea typeface="+mn-ea"/>
              <a:cs typeface="Arial" panose="020B0604020202020204" pitchFamily="34" charset="0"/>
            </a:rPr>
            <a:t>Rooftop HP make-up air unit (MUA) with supplemental electric heating</a:t>
          </a:r>
        </a:p>
        <a:p>
          <a:pPr marL="685800" lvl="1" indent="-228600">
            <a:buFont typeface="+mj-lt"/>
            <a:buAutoNum type="arabicPeriod"/>
          </a:pPr>
          <a:r>
            <a:rPr lang="en-CA">
              <a:effectLst/>
              <a:latin typeface="Arial" panose="020B0604020202020204" pitchFamily="34" charset="0"/>
              <a:cs typeface="Arial" panose="020B0604020202020204" pitchFamily="34" charset="0"/>
            </a:rPr>
            <a:t>Low-ambient rooftop HP MUA with electric preheat (HP operational down to -12</a:t>
          </a:r>
          <a:r>
            <a:rPr lang="en-CA" sz="1100">
              <a:effectLst/>
              <a:latin typeface="+mn-lt"/>
              <a:ea typeface="+mn-ea"/>
              <a:cs typeface="+mn-cs"/>
            </a:rPr>
            <a:t>°</a:t>
          </a:r>
          <a:r>
            <a:rPr lang="en-CA" sz="1100">
              <a:effectLst/>
              <a:latin typeface="Arial" panose="020B0604020202020204" pitchFamily="34" charset="0"/>
              <a:ea typeface="+mn-ea"/>
              <a:cs typeface="Arial" panose="020B0604020202020204" pitchFamily="34" charset="0"/>
            </a:rPr>
            <a:t>C with electric preheat</a:t>
          </a:r>
          <a:r>
            <a:rPr lang="en-CA">
              <a:effectLst/>
              <a:latin typeface="Arial" panose="020B0604020202020204" pitchFamily="34" charset="0"/>
              <a:cs typeface="Arial" panose="020B0604020202020204" pitchFamily="34" charset="0"/>
            </a:rPr>
            <a:t>)</a:t>
          </a:r>
        </a:p>
        <a:p>
          <a:pPr marL="228600" indent="-228600">
            <a:buFont typeface="+mj-lt"/>
            <a:buAutoNum type="arabicPeriod"/>
          </a:pPr>
          <a:r>
            <a:rPr lang="en-CA" sz="1100" b="0" baseline="0">
              <a:effectLst/>
              <a:latin typeface="Arial" panose="020B0604020202020204" pitchFamily="34" charset="0"/>
              <a:ea typeface="+mn-ea"/>
              <a:cs typeface="Arial" panose="020B0604020202020204" pitchFamily="34" charset="0"/>
            </a:rPr>
            <a:t>Envelope</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0" i="0">
              <a:effectLst/>
              <a:latin typeface="Arial" panose="020B0604020202020204" pitchFamily="34" charset="0"/>
              <a:ea typeface="+mn-ea"/>
              <a:cs typeface="Arial" panose="020B0604020202020204" pitchFamily="34" charset="0"/>
            </a:rPr>
            <a:t>Glazing (for electrically heated building, existing</a:t>
          </a:r>
          <a:r>
            <a:rPr lang="en-CA" sz="1100" b="0" i="0" baseline="0">
              <a:effectLst/>
              <a:latin typeface="Arial" panose="020B0604020202020204" pitchFamily="34" charset="0"/>
              <a:ea typeface="+mn-ea"/>
              <a:cs typeface="Arial" panose="020B0604020202020204" pitchFamily="34" charset="0"/>
            </a:rPr>
            <a:t> system must be single glazed or double glazed with non thermally broken frames</a:t>
          </a:r>
          <a:r>
            <a:rPr lang="en-CA" sz="1100" b="0" i="0">
              <a:effectLst/>
              <a:latin typeface="Arial" panose="020B0604020202020204" pitchFamily="34" charset="0"/>
              <a:ea typeface="+mn-ea"/>
              <a:cs typeface="Arial" panose="020B0604020202020204" pitchFamily="34" charset="0"/>
            </a:rPr>
            <a:t>)</a:t>
          </a:r>
          <a:r>
            <a:rPr lang="en-CA" sz="1100" b="0">
              <a:effectLst/>
              <a:latin typeface="Arial" panose="020B0604020202020204" pitchFamily="34" charset="0"/>
              <a:ea typeface="+mn-ea"/>
              <a:cs typeface="Arial" panose="020B0604020202020204" pitchFamily="34" charset="0"/>
            </a:rPr>
            <a:t> </a:t>
          </a:r>
          <a:endParaRPr lang="en-CA">
            <a:effectLst/>
            <a:latin typeface="Arial" panose="020B0604020202020204" pitchFamily="34" charset="0"/>
            <a:cs typeface="Arial" panose="020B0604020202020204" pitchFamily="34" charset="0"/>
          </a:endParaRPr>
        </a:p>
        <a:p>
          <a:pPr marL="228600" indent="-228600">
            <a:buFont typeface="+mj-lt"/>
            <a:buAutoNum type="arabicPeriod"/>
          </a:pPr>
          <a:r>
            <a:rPr lang="en-CA" sz="1100" b="0" baseline="0">
              <a:effectLst/>
              <a:latin typeface="Arial" panose="020B0604020202020204" pitchFamily="34" charset="0"/>
              <a:ea typeface="+mn-ea"/>
              <a:cs typeface="Arial" panose="020B0604020202020204" pitchFamily="34" charset="0"/>
            </a:rPr>
            <a:t>Mechanical</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0" i="0">
              <a:effectLst/>
              <a:latin typeface="Arial" panose="020B0604020202020204" pitchFamily="34" charset="0"/>
              <a:ea typeface="+mn-ea"/>
              <a:cs typeface="Arial" panose="020B0604020202020204" pitchFamily="34" charset="0"/>
            </a:rPr>
            <a:t>Parkade CO - HVAC controls</a:t>
          </a:r>
          <a:r>
            <a:rPr lang="en-CA" sz="1100" b="0">
              <a:effectLst/>
              <a:latin typeface="Arial" panose="020B0604020202020204" pitchFamily="34" charset="0"/>
              <a:ea typeface="+mn-ea"/>
              <a:cs typeface="Arial" panose="020B0604020202020204" pitchFamily="34" charset="0"/>
            </a:rPr>
            <a:t> </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0" i="0">
              <a:effectLst/>
              <a:latin typeface="Arial" panose="020B0604020202020204" pitchFamily="34" charset="0"/>
              <a:ea typeface="+mn-ea"/>
              <a:cs typeface="Arial" panose="020B0604020202020204" pitchFamily="34" charset="0"/>
            </a:rPr>
            <a:t>Variable speed drive for motors</a:t>
          </a:r>
          <a:r>
            <a:rPr lang="en-CA" sz="1100" b="0">
              <a:effectLst/>
              <a:latin typeface="Arial" panose="020B0604020202020204" pitchFamily="34" charset="0"/>
              <a:ea typeface="+mn-ea"/>
              <a:cs typeface="Arial" panose="020B0604020202020204" pitchFamily="34" charset="0"/>
            </a:rPr>
            <a:t> </a:t>
          </a:r>
          <a:endParaRPr lang="en-CA">
            <a:effectLst/>
            <a:latin typeface="Arial" panose="020B0604020202020204" pitchFamily="34" charset="0"/>
            <a:cs typeface="Arial" panose="020B0604020202020204" pitchFamily="34" charset="0"/>
          </a:endParaRPr>
        </a:p>
        <a:p>
          <a:pPr marL="228600" indent="-228600">
            <a:buFont typeface="+mj-lt"/>
            <a:buAutoNum type="arabicPeriod"/>
          </a:pPr>
          <a:r>
            <a:rPr lang="en-CA" sz="1100" b="0" baseline="0">
              <a:effectLst/>
              <a:latin typeface="Arial" panose="020B0604020202020204" pitchFamily="34" charset="0"/>
              <a:ea typeface="+mn-ea"/>
              <a:cs typeface="Arial" panose="020B0604020202020204" pitchFamily="34" charset="0"/>
            </a:rPr>
            <a:t>Lighting</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0" i="0">
              <a:effectLst/>
              <a:latin typeface="Arial" panose="020B0604020202020204" pitchFamily="34" charset="0"/>
              <a:ea typeface="+mn-ea"/>
              <a:cs typeface="Arial" panose="020B0604020202020204" pitchFamily="34" charset="0"/>
            </a:rPr>
            <a:t>Like-for-like lighting replacements</a:t>
          </a:r>
          <a:r>
            <a:rPr lang="en-CA" sz="1100" b="0">
              <a:effectLst/>
              <a:latin typeface="Arial" panose="020B0604020202020204" pitchFamily="34" charset="0"/>
              <a:ea typeface="+mn-ea"/>
              <a:cs typeface="Arial" panose="020B0604020202020204" pitchFamily="34" charset="0"/>
            </a:rPr>
            <a:t> </a:t>
          </a:r>
        </a:p>
        <a:p>
          <a:pPr marL="685800" lvl="1" indent="-228600">
            <a:buFont typeface="+mj-lt"/>
            <a:buAutoNum type="arabicPeriod"/>
          </a:pPr>
          <a:r>
            <a:rPr lang="en-CA" sz="1100" b="0">
              <a:effectLst/>
              <a:latin typeface="Arial" panose="020B0604020202020204" pitchFamily="34" charset="0"/>
              <a:ea typeface="+mn-ea"/>
              <a:cs typeface="Arial" panose="020B0604020202020204" pitchFamily="34" charset="0"/>
            </a:rPr>
            <a:t>Lighting controls</a:t>
          </a:r>
        </a:p>
        <a:p>
          <a:pPr marL="0" marR="0">
            <a:lnSpc>
              <a:spcPct val="115000"/>
            </a:lnSpc>
            <a:spcBef>
              <a:spcPts val="0"/>
            </a:spcBef>
            <a:spcAft>
              <a:spcPts val="1000"/>
            </a:spcAft>
          </a:pPr>
          <a:br>
            <a:rPr lang="en-CA" sz="1100" baseline="0">
              <a:effectLst/>
              <a:latin typeface="Arial" panose="020B0604020202020204" pitchFamily="34" charset="0"/>
              <a:ea typeface="Calibri"/>
              <a:cs typeface="Arial" panose="020B0604020202020204" pitchFamily="34" charset="0"/>
            </a:rPr>
          </a:br>
          <a:r>
            <a:rPr lang="en-CA" sz="1050" baseline="0">
              <a:effectLst/>
              <a:latin typeface="Arial" panose="020B0604020202020204" pitchFamily="34" charset="0"/>
              <a:ea typeface="Calibri"/>
              <a:cs typeface="Arial" panose="020B0604020202020204" pitchFamily="34" charset="0"/>
            </a:rPr>
            <a:t>*Must cover a substantial portion of the building suites. This offer is not for individual, in-suite upgrades.</a:t>
          </a:r>
          <a:br>
            <a:rPr lang="en-CA" sz="1050" baseline="0">
              <a:effectLst/>
              <a:latin typeface="Arial" panose="020B0604020202020204" pitchFamily="34" charset="0"/>
              <a:ea typeface="Calibri"/>
              <a:cs typeface="Arial" panose="020B0604020202020204" pitchFamily="34" charset="0"/>
            </a:rPr>
          </a:br>
          <a:r>
            <a:rPr lang="en-CA" sz="1050" baseline="0">
              <a:effectLst/>
              <a:latin typeface="Arial" panose="020B0604020202020204" pitchFamily="34" charset="0"/>
              <a:ea typeface="Calibri"/>
              <a:cs typeface="Arial" panose="020B0604020202020204" pitchFamily="34" charset="0"/>
            </a:rPr>
            <a:t>**Central heat pump water heating systems with supplemental gas-fired heating are not accepted.</a:t>
          </a:r>
        </a:p>
        <a:p>
          <a:pPr marL="0" marR="0">
            <a:lnSpc>
              <a:spcPct val="115000"/>
            </a:lnSpc>
            <a:spcBef>
              <a:spcPts val="0"/>
            </a:spcBef>
            <a:spcAft>
              <a:spcPts val="1000"/>
            </a:spcAft>
          </a:pPr>
          <a:r>
            <a:rPr lang="en-CA" sz="1100" baseline="0">
              <a:effectLst/>
              <a:latin typeface="Arial" panose="020B0604020202020204" pitchFamily="34" charset="0"/>
              <a:ea typeface="Calibri"/>
              <a:cs typeface="Arial" panose="020B0604020202020204" pitchFamily="34" charset="0"/>
            </a:rPr>
            <a:t>This workbook is submitted and updated throughout the incentive process including the study, rebate application and post implementation (as-built) phases of a project. </a:t>
          </a:r>
          <a:r>
            <a:rPr lang="en-CA" sz="1100">
              <a:effectLst/>
              <a:latin typeface="Arial" panose="020B0604020202020204" pitchFamily="34" charset="0"/>
              <a:ea typeface="Calibri"/>
              <a:cs typeface="Arial" panose="020B0604020202020204" pitchFamily="34" charset="0"/>
            </a:rPr>
            <a:t>This</a:t>
          </a:r>
          <a:r>
            <a:rPr lang="en-CA" sz="1100" baseline="0">
              <a:effectLst/>
              <a:latin typeface="Arial" panose="020B0604020202020204" pitchFamily="34" charset="0"/>
              <a:ea typeface="Calibri"/>
              <a:cs typeface="Arial" panose="020B0604020202020204" pitchFamily="34" charset="0"/>
            </a:rPr>
            <a:t> workbook </a:t>
          </a:r>
          <a:r>
            <a:rPr lang="en-CA" sz="1100">
              <a:effectLst/>
              <a:latin typeface="Arial" panose="020B0604020202020204" pitchFamily="34" charset="0"/>
              <a:ea typeface="Calibri"/>
              <a:cs typeface="Arial" panose="020B0604020202020204" pitchFamily="34" charset="0"/>
            </a:rPr>
            <a:t>estimates the energy and financial impacts from retrofitting Energy Efficiency (EE) and Low Carbon Electrification (LCE)</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measures. When all data on existing and proposed systems has been entered, the</a:t>
          </a:r>
          <a:r>
            <a:rPr lang="en-CA" sz="1100" baseline="0">
              <a:effectLst/>
              <a:latin typeface="Arial" panose="020B0604020202020204" pitchFamily="34" charset="0"/>
              <a:ea typeface="Calibri"/>
              <a:cs typeface="Arial" panose="020B0604020202020204" pitchFamily="34" charset="0"/>
            </a:rPr>
            <a:t> workbook</a:t>
          </a:r>
          <a:r>
            <a:rPr lang="en-CA" sz="1100">
              <a:effectLst/>
              <a:latin typeface="Arial" panose="020B0604020202020204" pitchFamily="34" charset="0"/>
              <a:ea typeface="Calibri"/>
              <a:cs typeface="Arial" panose="020B0604020202020204" pitchFamily="34" charset="0"/>
            </a:rPr>
            <a:t> will calculate the estimated incentive, energy impacts and provide a cost analysis (implementation costs will</a:t>
          </a:r>
          <a:r>
            <a:rPr lang="en-CA" sz="1100" baseline="0">
              <a:effectLst/>
              <a:latin typeface="Arial" panose="020B0604020202020204" pitchFamily="34" charset="0"/>
              <a:ea typeface="Calibri"/>
              <a:cs typeface="Arial" panose="020B0604020202020204" pitchFamily="34" charset="0"/>
            </a:rPr>
            <a:t> need to be provided, this is not calculated by the workbook</a:t>
          </a:r>
          <a:r>
            <a:rPr lang="en-CA" sz="1100" b="1" baseline="0">
              <a:effectLst/>
              <a:latin typeface="Arial" panose="020B0604020202020204" pitchFamily="34" charset="0"/>
              <a:ea typeface="Calibri"/>
              <a:cs typeface="Arial" panose="020B0604020202020204" pitchFamily="34" charset="0"/>
            </a:rPr>
            <a:t>).</a:t>
          </a:r>
          <a:r>
            <a:rPr lang="en-CA" sz="1100" b="1">
              <a:effectLst/>
              <a:latin typeface="Arial" panose="020B0604020202020204" pitchFamily="34" charset="0"/>
              <a:ea typeface="Calibri"/>
              <a:cs typeface="Arial" panose="020B0604020202020204" pitchFamily="34" charset="0"/>
            </a:rPr>
            <a:t> Please note that you can type the data or choose from drop-down menus in the white fields only; the cells with background colours are locked and contain formulas for calculated result or text.</a:t>
          </a:r>
        </a:p>
        <a:p>
          <a:pPr marL="0" marR="0">
            <a:lnSpc>
              <a:spcPct val="115000"/>
            </a:lnSpc>
            <a:spcBef>
              <a:spcPts val="0"/>
            </a:spcBef>
            <a:spcAft>
              <a:spcPts val="1000"/>
            </a:spcAft>
          </a:pPr>
          <a:r>
            <a:rPr lang="en-CA" sz="1100" b="1" u="sng">
              <a:solidFill>
                <a:srgbClr val="FF0000"/>
              </a:solidFill>
              <a:effectLst/>
              <a:latin typeface="Arial" panose="020B0604020202020204" pitchFamily="34" charset="0"/>
              <a:ea typeface="Calibri"/>
              <a:cs typeface="Arial" panose="020B0604020202020204" pitchFamily="34" charset="0"/>
            </a:rPr>
            <a:t>The workbook is to be used with Microsoft</a:t>
          </a:r>
          <a:r>
            <a:rPr lang="en-CA" sz="1100" b="1" u="sng" baseline="0">
              <a:solidFill>
                <a:srgbClr val="FF0000"/>
              </a:solidFill>
              <a:effectLst/>
              <a:latin typeface="Arial" panose="020B0604020202020204" pitchFamily="34" charset="0"/>
              <a:ea typeface="Calibri"/>
              <a:cs typeface="Arial" panose="020B0604020202020204" pitchFamily="34" charset="0"/>
            </a:rPr>
            <a:t> Excel. Workbooks populated using other spreadsheet software will not be accepted.</a:t>
          </a:r>
        </a:p>
        <a:p>
          <a:pPr marL="0" marR="0">
            <a:lnSpc>
              <a:spcPct val="115000"/>
            </a:lnSpc>
            <a:spcBef>
              <a:spcPts val="0"/>
            </a:spcBef>
            <a:spcAft>
              <a:spcPts val="1000"/>
            </a:spcAft>
          </a:pPr>
          <a:r>
            <a:rPr lang="en-CA" sz="1100" u="none" baseline="0">
              <a:effectLst/>
              <a:latin typeface="Arial" panose="020B0604020202020204" pitchFamily="34" charset="0"/>
              <a:ea typeface="Calibri"/>
              <a:cs typeface="Arial" panose="020B0604020202020204" pitchFamily="34" charset="0"/>
            </a:rPr>
            <a:t>The workbook contains the following tabs:</a:t>
          </a:r>
          <a:endParaRPr lang="en-CA" sz="1100" u="none">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Calibri"/>
            <a:buChar char="•"/>
          </a:pPr>
          <a:r>
            <a:rPr lang="en-CA" sz="1100" b="1">
              <a:effectLst/>
              <a:latin typeface="Arial" panose="020B0604020202020204" pitchFamily="34" charset="0"/>
              <a:ea typeface="Calibri"/>
              <a:cs typeface="Arial" panose="020B0604020202020204" pitchFamily="34" charset="0"/>
            </a:rPr>
            <a:t>Project</a:t>
          </a:r>
          <a:r>
            <a:rPr lang="en-CA" sz="1100" b="1" baseline="0">
              <a:effectLst/>
              <a:latin typeface="Arial" panose="020B0604020202020204" pitchFamily="34" charset="0"/>
              <a:ea typeface="Calibri"/>
              <a:cs typeface="Arial" panose="020B0604020202020204" pitchFamily="34" charset="0"/>
            </a:rPr>
            <a:t> Info</a:t>
          </a:r>
          <a:r>
            <a:rPr lang="en-CA" sz="1100">
              <a:effectLst/>
              <a:latin typeface="Arial" panose="020B0604020202020204" pitchFamily="34" charset="0"/>
              <a:ea typeface="Calibri"/>
              <a:cs typeface="Arial" panose="020B0604020202020204" pitchFamily="34" charset="0"/>
            </a:rPr>
            <a:t> (Project and site</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input</a:t>
          </a:r>
          <a:r>
            <a:rPr lang="en-CA" sz="1100" baseline="0">
              <a:effectLst/>
              <a:latin typeface="Arial" panose="020B0604020202020204" pitchFamily="34" charset="0"/>
              <a:ea typeface="Calibri"/>
              <a:cs typeface="Arial" panose="020B0604020202020204" pitchFamily="34" charset="0"/>
            </a:rPr>
            <a:t> data</a:t>
          </a:r>
          <a:r>
            <a:rPr lang="en-CA" sz="1100">
              <a:effectLst/>
              <a:latin typeface="Arial" panose="020B0604020202020204" pitchFamily="34" charset="0"/>
              <a:ea typeface="Calibri"/>
              <a:cs typeface="Arial" panose="020B0604020202020204" pitchFamily="34" charset="0"/>
            </a:rPr>
            <a:t>)</a:t>
          </a:r>
        </a:p>
        <a:p>
          <a:pPr marL="342900" marR="0" lvl="0" indent="-342900" defTabSz="914400" eaLnBrk="1" fontAlgn="auto" latinLnBrk="0" hangingPunct="1">
            <a:lnSpc>
              <a:spcPct val="115000"/>
            </a:lnSpc>
            <a:spcBef>
              <a:spcPts val="0"/>
            </a:spcBef>
            <a:spcAft>
              <a:spcPts val="0"/>
            </a:spcAft>
            <a:buClrTx/>
            <a:buSzTx/>
            <a:buFont typeface="Calibri"/>
            <a:buChar char="•"/>
            <a:tabLst/>
            <a:defRPr/>
          </a:pPr>
          <a:r>
            <a:rPr lang="en-CA" sz="1100" b="1">
              <a:effectLst/>
              <a:latin typeface="Arial" panose="020B0604020202020204" pitchFamily="34" charset="0"/>
              <a:ea typeface="+mn-ea"/>
              <a:cs typeface="Arial" panose="020B0604020202020204" pitchFamily="34" charset="0"/>
            </a:rPr>
            <a:t>Summary</a:t>
          </a:r>
          <a:r>
            <a:rPr lang="en-CA" sz="1100">
              <a:effectLst/>
              <a:latin typeface="Arial" panose="020B0604020202020204" pitchFamily="34" charset="0"/>
              <a:ea typeface="+mn-ea"/>
              <a:cs typeface="Arial" panose="020B0604020202020204" pitchFamily="34" charset="0"/>
            </a:rPr>
            <a:t> (Energy</a:t>
          </a:r>
          <a:r>
            <a:rPr lang="en-CA" sz="1100" baseline="0">
              <a:effectLst/>
              <a:latin typeface="Arial" panose="020B0604020202020204" pitchFamily="34" charset="0"/>
              <a:ea typeface="+mn-ea"/>
              <a:cs typeface="Arial" panose="020B0604020202020204" pitchFamily="34" charset="0"/>
            </a:rPr>
            <a:t> and cost impact report for selected measures, no entries are required for this tab</a:t>
          </a:r>
          <a:r>
            <a:rPr lang="en-CA" sz="1100">
              <a:effectLst/>
              <a:latin typeface="Arial" panose="020B0604020202020204" pitchFamily="34" charset="0"/>
              <a:ea typeface="+mn-ea"/>
              <a:cs typeface="Arial" panose="020B0604020202020204" pitchFamily="34" charset="0"/>
            </a:rPr>
            <a:t>)</a:t>
          </a:r>
          <a:endParaRPr lang="en-CA" sz="1100">
            <a:effectLst/>
            <a:latin typeface="Arial" panose="020B0604020202020204" pitchFamily="34" charset="0"/>
            <a:cs typeface="Arial" panose="020B0604020202020204" pitchFamily="34" charset="0"/>
          </a:endParaRPr>
        </a:p>
        <a:p>
          <a:pPr marL="342900" marR="0" lvl="0" indent="-342900">
            <a:lnSpc>
              <a:spcPct val="115000"/>
            </a:lnSpc>
            <a:spcBef>
              <a:spcPts val="0"/>
            </a:spcBef>
            <a:spcAft>
              <a:spcPts val="0"/>
            </a:spcAft>
            <a:buFont typeface="Calibri"/>
            <a:buChar char="•"/>
          </a:pPr>
          <a:r>
            <a:rPr lang="en-CA" sz="1100" b="1">
              <a:effectLst/>
              <a:latin typeface="Arial" panose="020B0604020202020204" pitchFamily="34" charset="0"/>
              <a:ea typeface="Calibri"/>
              <a:cs typeface="Arial" panose="020B0604020202020204" pitchFamily="34" charset="0"/>
            </a:rPr>
            <a:t>Lighting</a:t>
          </a:r>
          <a:r>
            <a:rPr lang="en-CA" sz="1100">
              <a:effectLst/>
              <a:latin typeface="Arial" panose="020B0604020202020204" pitchFamily="34" charset="0"/>
              <a:ea typeface="Calibri"/>
              <a:cs typeface="Arial" panose="020B0604020202020204" pitchFamily="34" charset="0"/>
            </a:rPr>
            <a:t> (Calculator for Lighting EE</a:t>
          </a:r>
          <a:r>
            <a:rPr lang="en-CA" sz="1100" baseline="0">
              <a:effectLst/>
              <a:latin typeface="Arial" panose="020B0604020202020204" pitchFamily="34" charset="0"/>
              <a:ea typeface="Calibri"/>
              <a:cs typeface="Arial" panose="020B0604020202020204" pitchFamily="34" charset="0"/>
            </a:rPr>
            <a:t> measures</a:t>
          </a:r>
          <a:r>
            <a:rPr lang="en-CA" sz="1100">
              <a:effectLst/>
              <a:latin typeface="Arial" panose="020B0604020202020204" pitchFamily="34" charset="0"/>
              <a:ea typeface="Calibri"/>
              <a:cs typeface="Arial" panose="020B0604020202020204" pitchFamily="34" charset="0"/>
            </a:rPr>
            <a:t>)</a:t>
          </a:r>
        </a:p>
        <a:p>
          <a:pPr marL="342900" marR="0" lvl="0" indent="-342900">
            <a:lnSpc>
              <a:spcPct val="115000"/>
            </a:lnSpc>
            <a:spcBef>
              <a:spcPts val="0"/>
            </a:spcBef>
            <a:spcAft>
              <a:spcPts val="1000"/>
            </a:spcAft>
            <a:buFont typeface="Calibri"/>
            <a:buChar char="•"/>
          </a:pPr>
          <a:r>
            <a:rPr lang="en-CA" sz="1100" b="1">
              <a:effectLst/>
              <a:latin typeface="Arial" panose="020B0604020202020204" pitchFamily="34" charset="0"/>
              <a:ea typeface="Calibri"/>
              <a:cs typeface="Arial" panose="020B0604020202020204" pitchFamily="34" charset="0"/>
            </a:rPr>
            <a:t>Mechanical </a:t>
          </a:r>
          <a:r>
            <a:rPr lang="en-CA" sz="1100">
              <a:effectLst/>
              <a:latin typeface="Arial" panose="020B0604020202020204" pitchFamily="34" charset="0"/>
              <a:ea typeface="Calibri"/>
              <a:cs typeface="Arial" panose="020B0604020202020204" pitchFamily="34" charset="0"/>
            </a:rPr>
            <a:t>(Calculator for </a:t>
          </a:r>
          <a:r>
            <a:rPr lang="en-CA" sz="1100" baseline="0">
              <a:effectLst/>
              <a:latin typeface="Arial" panose="020B0604020202020204" pitchFamily="34" charset="0"/>
              <a:ea typeface="Calibri"/>
              <a:cs typeface="Arial" panose="020B0604020202020204" pitchFamily="34" charset="0"/>
            </a:rPr>
            <a:t>EE and LCE measures involving HVAC, DHW, Envelope and Mechanical</a:t>
          </a:r>
          <a:r>
            <a:rPr lang="en-CA" sz="1100">
              <a:effectLst/>
              <a:latin typeface="Arial" panose="020B0604020202020204" pitchFamily="34" charset="0"/>
              <a:ea typeface="Calibri"/>
              <a:cs typeface="Arial" panose="020B0604020202020204" pitchFamily="34" charset="0"/>
            </a:rPr>
            <a:t>) </a:t>
          </a:r>
        </a:p>
        <a:p>
          <a:pPr marL="0" marR="0">
            <a:lnSpc>
              <a:spcPct val="115000"/>
            </a:lnSpc>
            <a:spcBef>
              <a:spcPts val="0"/>
            </a:spcBef>
            <a:spcAft>
              <a:spcPts val="1000"/>
            </a:spcAft>
          </a:pPr>
          <a:r>
            <a:rPr lang="en-CA" sz="1100">
              <a:effectLst/>
              <a:latin typeface="Arial" panose="020B0604020202020204" pitchFamily="34" charset="0"/>
              <a:ea typeface="Calibri"/>
              <a:cs typeface="Arial" panose="020B0604020202020204" pitchFamily="34" charset="0"/>
            </a:rPr>
            <a:t> To complete the workbook, please follow the instructions below:</a:t>
          </a:r>
        </a:p>
        <a:p>
          <a:pPr marL="342900" marR="0" lvl="0" indent="-3429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In</a:t>
          </a:r>
          <a:r>
            <a:rPr lang="en-CA" sz="1100" baseline="0">
              <a:effectLst/>
              <a:latin typeface="Arial" panose="020B0604020202020204" pitchFamily="34" charset="0"/>
              <a:ea typeface="Calibri"/>
              <a:cs typeface="Arial" panose="020B0604020202020204" pitchFamily="34" charset="0"/>
            </a:rPr>
            <a:t> the </a:t>
          </a:r>
          <a:r>
            <a:rPr lang="en-CA" sz="1100" b="1" baseline="0">
              <a:effectLst/>
              <a:latin typeface="Arial" panose="020B0604020202020204" pitchFamily="34" charset="0"/>
              <a:ea typeface="Calibri"/>
              <a:cs typeface="Arial" panose="020B0604020202020204" pitchFamily="34" charset="0"/>
            </a:rPr>
            <a:t>Project Info </a:t>
          </a:r>
          <a:r>
            <a:rPr lang="en-CA" sz="1100" b="0" baseline="0">
              <a:effectLst/>
              <a:latin typeface="Arial" panose="020B0604020202020204" pitchFamily="34" charset="0"/>
              <a:ea typeface="Calibri"/>
              <a:cs typeface="Arial" panose="020B0604020202020204" pitchFamily="34" charset="0"/>
            </a:rPr>
            <a:t>tab (these values influence the energy impact calculations, please ensure entered values are correct):</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Fill in site information in the accessible fields. Note that the red asterisk denotes a required field.</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sz="1100">
              <a:effectLst/>
              <a:latin typeface="Arial" panose="020B0604020202020204" pitchFamily="34" charset="0"/>
              <a:ea typeface="+mn-ea"/>
              <a:cs typeface="Arial" panose="020B0604020202020204" pitchFamily="34" charset="0"/>
            </a:rPr>
            <a:t>Select the</a:t>
          </a:r>
          <a:r>
            <a:rPr lang="en-CA" sz="1100" baseline="0">
              <a:effectLst/>
              <a:latin typeface="Arial" panose="020B0604020202020204" pitchFamily="34" charset="0"/>
              <a:ea typeface="+mn-ea"/>
              <a:cs typeface="Arial" panose="020B0604020202020204" pitchFamily="34" charset="0"/>
            </a:rPr>
            <a:t> </a:t>
          </a:r>
          <a:r>
            <a:rPr lang="en-CA" sz="1100" b="1" baseline="0">
              <a:effectLst/>
              <a:latin typeface="Arial" panose="020B0604020202020204" pitchFamily="34" charset="0"/>
              <a:ea typeface="+mn-ea"/>
              <a:cs typeface="Arial" panose="020B0604020202020204" pitchFamily="34" charset="0"/>
            </a:rPr>
            <a:t>climate zone</a:t>
          </a:r>
          <a:r>
            <a:rPr lang="en-CA" sz="1100" baseline="0">
              <a:effectLst/>
              <a:latin typeface="Arial" panose="020B0604020202020204" pitchFamily="34" charset="0"/>
              <a:ea typeface="+mn-ea"/>
              <a:cs typeface="Arial" panose="020B0604020202020204" pitchFamily="34" charset="0"/>
            </a:rPr>
            <a:t>, a reference table is provided on the right which shows the BC Climate Zone per BC Building Code for different cities.</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sz="1100" baseline="0">
              <a:effectLst/>
              <a:latin typeface="Arial" panose="020B0604020202020204" pitchFamily="34" charset="0"/>
              <a:ea typeface="+mn-ea"/>
              <a:cs typeface="Arial" panose="020B0604020202020204" pitchFamily="34" charset="0"/>
            </a:rPr>
            <a:t>Enter the year the building is constructed, the number of stories (not including parkade), the total floor area of common and residential spaces, and number of residential suites.</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sz="1100" baseline="0">
              <a:effectLst/>
              <a:latin typeface="Arial" panose="020B0604020202020204" pitchFamily="34" charset="0"/>
              <a:ea typeface="+mn-ea"/>
              <a:cs typeface="Arial" panose="020B0604020202020204" pitchFamily="34" charset="0"/>
            </a:rPr>
            <a:t>Select the </a:t>
          </a:r>
          <a:r>
            <a:rPr lang="en-CA" sz="1100" b="1" baseline="0">
              <a:effectLst/>
              <a:latin typeface="Arial" panose="020B0604020202020204" pitchFamily="34" charset="0"/>
              <a:ea typeface="+mn-ea"/>
              <a:cs typeface="Arial" panose="020B0604020202020204" pitchFamily="34" charset="0"/>
            </a:rPr>
            <a:t>electrical service rate </a:t>
          </a:r>
          <a:r>
            <a:rPr lang="en-CA" sz="1100" baseline="0">
              <a:effectLst/>
              <a:latin typeface="Arial" panose="020B0604020202020204" pitchFamily="34" charset="0"/>
              <a:ea typeface="+mn-ea"/>
              <a:cs typeface="Arial" panose="020B0604020202020204" pitchFamily="34" charset="0"/>
            </a:rPr>
            <a:t>for common areas and residential suites, these rates are used to estimate utility costs impacts of selected measures.</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sz="1100" baseline="0">
              <a:effectLst/>
              <a:latin typeface="Arial" panose="020B0604020202020204" pitchFamily="34" charset="0"/>
              <a:ea typeface="+mn-ea"/>
              <a:cs typeface="Arial" panose="020B0604020202020204" pitchFamily="34" charset="0"/>
            </a:rPr>
            <a:t>Select </a:t>
          </a:r>
          <a:r>
            <a:rPr lang="en-CA" sz="1100" b="1" baseline="0">
              <a:effectLst/>
              <a:latin typeface="Arial" panose="020B0604020202020204" pitchFamily="34" charset="0"/>
              <a:ea typeface="+mn-ea"/>
              <a:cs typeface="Arial" panose="020B0604020202020204" pitchFamily="34" charset="0"/>
            </a:rPr>
            <a:t>utility source </a:t>
          </a:r>
          <a:r>
            <a:rPr lang="en-CA" sz="1100" baseline="0">
              <a:effectLst/>
              <a:latin typeface="Arial" panose="020B0604020202020204" pitchFamily="34" charset="0"/>
              <a:ea typeface="+mn-ea"/>
              <a:cs typeface="Arial" panose="020B0604020202020204" pitchFamily="34" charset="0"/>
            </a:rPr>
            <a:t>for domestic hot water, make-up air heating (typically provided by a rooftop make-up air unit) and space heating within residential suites. Selectable sources are electricity, natural gas, or hybrid (a mixture of electricity and natural gas). </a:t>
          </a:r>
        </a:p>
        <a:p>
          <a:pPr marL="1257300" marR="0" lvl="2" indent="-342900" defTabSz="914400" eaLnBrk="1" fontAlgn="auto" latinLnBrk="0" hangingPunct="1">
            <a:lnSpc>
              <a:spcPct val="115000"/>
            </a:lnSpc>
            <a:spcBef>
              <a:spcPts val="0"/>
            </a:spcBef>
            <a:spcAft>
              <a:spcPts val="0"/>
            </a:spcAft>
            <a:buClrTx/>
            <a:buSzTx/>
            <a:buFont typeface="+mj-lt"/>
            <a:buAutoNum type="romanLcPeriod"/>
            <a:tabLst/>
            <a:defRPr/>
          </a:pPr>
          <a:r>
            <a:rPr lang="en-CA" sz="1100" baseline="0">
              <a:effectLst/>
              <a:latin typeface="Arial" panose="020B0604020202020204" pitchFamily="34" charset="0"/>
              <a:ea typeface="+mn-ea"/>
              <a:cs typeface="Arial" panose="020B0604020202020204" pitchFamily="34" charset="0"/>
            </a:rPr>
            <a:t>Select whether your building natural gas bills include </a:t>
          </a:r>
          <a:r>
            <a:rPr lang="en-CA" sz="1100" b="1" baseline="0">
              <a:effectLst/>
              <a:latin typeface="Arial" panose="020B0604020202020204" pitchFamily="34" charset="0"/>
              <a:ea typeface="+mn-ea"/>
              <a:cs typeface="Arial" panose="020B0604020202020204" pitchFamily="34" charset="0"/>
            </a:rPr>
            <a:t>commercial gas use </a:t>
          </a:r>
          <a:r>
            <a:rPr lang="en-CA" sz="1100" baseline="0">
              <a:effectLst/>
              <a:latin typeface="Arial" panose="020B0604020202020204" pitchFamily="34" charset="0"/>
              <a:ea typeface="+mn-ea"/>
              <a:cs typeface="Arial" panose="020B0604020202020204" pitchFamily="34" charset="0"/>
            </a:rPr>
            <a:t>such as commercial kitchen equipment, laundry or pool heating.</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sz="1100" baseline="0">
              <a:effectLst/>
              <a:latin typeface="Arial" panose="020B0604020202020204" pitchFamily="34" charset="0"/>
              <a:ea typeface="+mn-ea"/>
              <a:cs typeface="Arial" panose="020B0604020202020204" pitchFamily="34" charset="0"/>
            </a:rPr>
            <a:t>Populate the </a:t>
          </a:r>
          <a:r>
            <a:rPr lang="en-CA" sz="1100" b="1" baseline="0">
              <a:effectLst/>
              <a:latin typeface="Arial" panose="020B0604020202020204" pitchFamily="34" charset="0"/>
              <a:ea typeface="+mn-ea"/>
              <a:cs typeface="Arial" panose="020B0604020202020204" pitchFamily="34" charset="0"/>
            </a:rPr>
            <a:t>monthly gas use data </a:t>
          </a:r>
          <a:r>
            <a:rPr lang="en-CA" sz="1100" baseline="0">
              <a:effectLst/>
              <a:latin typeface="Arial" panose="020B0604020202020204" pitchFamily="34" charset="0"/>
              <a:ea typeface="+mn-ea"/>
              <a:cs typeface="Arial" panose="020B0604020202020204" pitchFamily="34" charset="0"/>
            </a:rPr>
            <a:t>for the building, if available. Providing actual gas data will allow the workbook to make more accurate energy and financial impact calculations.</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lang="en-CA" sz="1100" baseline="0">
              <a:effectLst/>
              <a:latin typeface="Arial" panose="020B0604020202020204" pitchFamily="34" charset="0"/>
              <a:ea typeface="+mn-ea"/>
              <a:cs typeface="Arial" panose="020B0604020202020204" pitchFamily="34" charset="0"/>
            </a:rPr>
            <a:t>Fill in site information in the accessible fields.</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Provide a brief name of the </a:t>
          </a:r>
          <a:r>
            <a:rPr lang="en-CA" sz="1100" b="1">
              <a:effectLst/>
              <a:latin typeface="Arial" panose="020B0604020202020204" pitchFamily="34" charset="0"/>
              <a:ea typeface="+mn-ea"/>
              <a:cs typeface="Arial" panose="020B0604020202020204" pitchFamily="34" charset="0"/>
            </a:rPr>
            <a:t>Project </a:t>
          </a:r>
          <a:r>
            <a:rPr lang="en-CA" sz="1100">
              <a:effectLst/>
              <a:latin typeface="Arial" panose="020B0604020202020204" pitchFamily="34" charset="0"/>
              <a:ea typeface="+mn-ea"/>
              <a:cs typeface="Arial" panose="020B0604020202020204" pitchFamily="34" charset="0"/>
            </a:rPr>
            <a:t>being implemented </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Enter the name of the </a:t>
          </a:r>
          <a:r>
            <a:rPr lang="en-CA" sz="1100" b="1">
              <a:effectLst/>
              <a:latin typeface="Arial" panose="020B0604020202020204" pitchFamily="34" charset="0"/>
              <a:ea typeface="+mn-ea"/>
              <a:cs typeface="Arial" panose="020B0604020202020204" pitchFamily="34" charset="0"/>
            </a:rPr>
            <a:t>Firm completing the Workbook</a:t>
          </a:r>
          <a:r>
            <a:rPr lang="en-CA" sz="1100">
              <a:effectLst/>
              <a:latin typeface="Arial" panose="020B0604020202020204" pitchFamily="34" charset="0"/>
              <a:ea typeface="+mn-ea"/>
              <a:cs typeface="Arial" panose="020B0604020202020204" pitchFamily="34" charset="0"/>
            </a:rPr>
            <a:t>, i.e. the entity responsible for the calculator content.</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Enter the name of the </a:t>
          </a:r>
          <a:r>
            <a:rPr lang="en-CA" sz="1100" b="1">
              <a:effectLst/>
              <a:latin typeface="Arial" panose="020B0604020202020204" pitchFamily="34" charset="0"/>
              <a:ea typeface="+mn-ea"/>
              <a:cs typeface="Arial" panose="020B0604020202020204" pitchFamily="34" charset="0"/>
            </a:rPr>
            <a:t>implementation Contractor(s)</a:t>
          </a:r>
          <a:r>
            <a:rPr lang="en-CA" sz="1100">
              <a:effectLst/>
              <a:latin typeface="Arial" panose="020B0604020202020204" pitchFamily="34" charset="0"/>
              <a:ea typeface="+mn-ea"/>
              <a:cs typeface="Arial" panose="020B0604020202020204" pitchFamily="34" charset="0"/>
            </a:rPr>
            <a:t>, i.e. the entity responsible for implementing the measures contained in the workbook</a:t>
          </a:r>
          <a:r>
            <a:rPr lang="en-CA" sz="1100" b="1">
              <a:effectLst/>
              <a:latin typeface="Arial" panose="020B0604020202020204" pitchFamily="34" charset="0"/>
              <a:ea typeface="+mn-ea"/>
              <a:cs typeface="Arial" panose="020B0604020202020204" pitchFamily="34" charset="0"/>
            </a:rPr>
            <a:t>.</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Provide a </a:t>
          </a:r>
          <a:r>
            <a:rPr lang="en-CA" sz="1100" b="1">
              <a:effectLst/>
              <a:latin typeface="Arial" panose="020B0604020202020204" pitchFamily="34" charset="0"/>
              <a:ea typeface="+mn-ea"/>
              <a:cs typeface="Arial" panose="020B0604020202020204" pitchFamily="34" charset="0"/>
            </a:rPr>
            <a:t>Date </a:t>
          </a:r>
          <a:r>
            <a:rPr lang="en-CA" sz="1100">
              <a:effectLst/>
              <a:latin typeface="Arial" panose="020B0604020202020204" pitchFamily="34" charset="0"/>
              <a:ea typeface="+mn-ea"/>
              <a:cs typeface="Arial" panose="020B0604020202020204" pitchFamily="34" charset="0"/>
            </a:rPr>
            <a:t>the workbook was completed or updated. </a:t>
          </a:r>
        </a:p>
        <a:p>
          <a:pPr marL="1257300" marR="0" lvl="2" indent="-342900" defTabSz="914400" eaLnBrk="1" fontAlgn="auto" latinLnBrk="0" hangingPunct="1">
            <a:lnSpc>
              <a:spcPct val="115000"/>
            </a:lnSpc>
            <a:spcBef>
              <a:spcPts val="0"/>
            </a:spcBef>
            <a:spcAft>
              <a:spcPts val="0"/>
            </a:spcAft>
            <a:buClrTx/>
            <a:buSzTx/>
            <a:buFont typeface="+mj-lt"/>
            <a:buAutoNum type="alphaLcPeriod"/>
            <a:tabLst/>
            <a:defRPr/>
          </a:pPr>
          <a:r>
            <a:rPr lang="en-CA" sz="1100">
              <a:effectLst/>
              <a:latin typeface="Arial" panose="020B0604020202020204" pitchFamily="34" charset="0"/>
              <a:ea typeface="+mn-ea"/>
              <a:cs typeface="Arial" panose="020B0604020202020204" pitchFamily="34" charset="0"/>
            </a:rPr>
            <a:t>Select the </a:t>
          </a:r>
          <a:r>
            <a:rPr lang="en-CA" sz="1100" b="1">
              <a:effectLst/>
              <a:latin typeface="Arial" panose="020B0604020202020204" pitchFamily="34" charset="0"/>
              <a:ea typeface="+mn-ea"/>
              <a:cs typeface="Arial" panose="020B0604020202020204" pitchFamily="34" charset="0"/>
            </a:rPr>
            <a:t>Phase</a:t>
          </a:r>
          <a:r>
            <a:rPr lang="en-CA" sz="1100">
              <a:effectLst/>
              <a:latin typeface="Arial" panose="020B0604020202020204" pitchFamily="34" charset="0"/>
              <a:ea typeface="+mn-ea"/>
              <a:cs typeface="Arial" panose="020B0604020202020204" pitchFamily="34" charset="0"/>
            </a:rPr>
            <a:t> of the project.  This workbook is used to either communicate </a:t>
          </a:r>
          <a:r>
            <a:rPr lang="en-CA" sz="1100" u="sng">
              <a:effectLst/>
              <a:latin typeface="Arial" panose="020B0604020202020204" pitchFamily="34" charset="0"/>
              <a:ea typeface="+mn-ea"/>
              <a:cs typeface="Arial" panose="020B0604020202020204" pitchFamily="34" charset="0"/>
            </a:rPr>
            <a:t>study </a:t>
          </a:r>
          <a:r>
            <a:rPr lang="en-CA" sz="1100">
              <a:effectLst/>
              <a:latin typeface="Arial" panose="020B0604020202020204" pitchFamily="34" charset="0"/>
              <a:ea typeface="+mn-ea"/>
              <a:cs typeface="Arial" panose="020B0604020202020204" pitchFamily="34" charset="0"/>
            </a:rPr>
            <a:t>results, provide information for </a:t>
          </a:r>
          <a:r>
            <a:rPr lang="en-CA" sz="1100" u="sng">
              <a:effectLst/>
              <a:latin typeface="Arial" panose="020B0604020202020204" pitchFamily="34" charset="0"/>
              <a:ea typeface="+mn-ea"/>
              <a:cs typeface="Arial" panose="020B0604020202020204" pitchFamily="34" charset="0"/>
            </a:rPr>
            <a:t>rebate application</a:t>
          </a:r>
          <a:r>
            <a:rPr lang="en-CA" sz="1100">
              <a:effectLst/>
              <a:latin typeface="Arial" panose="020B0604020202020204" pitchFamily="34" charset="0"/>
              <a:ea typeface="+mn-ea"/>
              <a:cs typeface="Arial" panose="020B0604020202020204" pitchFamily="34" charset="0"/>
            </a:rPr>
            <a:t>,</a:t>
          </a:r>
          <a:r>
            <a:rPr lang="en-CA" sz="1100" baseline="0">
              <a:effectLst/>
              <a:latin typeface="Arial" panose="020B0604020202020204" pitchFamily="34" charset="0"/>
              <a:ea typeface="+mn-ea"/>
              <a:cs typeface="Arial" panose="020B0604020202020204" pitchFamily="34" charset="0"/>
            </a:rPr>
            <a:t> or confirming </a:t>
          </a:r>
          <a:r>
            <a:rPr lang="en-CA" sz="1100" u="sng" baseline="0">
              <a:effectLst/>
              <a:latin typeface="Arial" panose="020B0604020202020204" pitchFamily="34" charset="0"/>
              <a:ea typeface="+mn-ea"/>
              <a:cs typeface="Arial" panose="020B0604020202020204" pitchFamily="34" charset="0"/>
            </a:rPr>
            <a:t>as-built</a:t>
          </a:r>
          <a:r>
            <a:rPr lang="en-CA" sz="1100" baseline="0">
              <a:effectLst/>
              <a:latin typeface="Arial" panose="020B0604020202020204" pitchFamily="34" charset="0"/>
              <a:ea typeface="+mn-ea"/>
              <a:cs typeface="Arial" panose="020B0604020202020204" pitchFamily="34" charset="0"/>
            </a:rPr>
            <a:t> state of the implemented measures</a:t>
          </a:r>
          <a:r>
            <a:rPr lang="en-CA" sz="1100">
              <a:effectLst/>
              <a:latin typeface="Arial" panose="020B0604020202020204" pitchFamily="34" charset="0"/>
              <a:ea typeface="+mn-ea"/>
              <a:cs typeface="Arial" panose="020B0604020202020204" pitchFamily="34" charset="0"/>
            </a:rPr>
            <a:t>.</a:t>
          </a:r>
          <a:endParaRPr lang="en-CA">
            <a:effectLst/>
            <a:latin typeface="Arial" panose="020B0604020202020204" pitchFamily="34" charset="0"/>
            <a:cs typeface="Arial" panose="020B0604020202020204" pitchFamily="34" charset="0"/>
          </a:endParaRPr>
        </a:p>
        <a:p>
          <a:pPr marL="342900" marR="0" lvl="0" indent="-3429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In the </a:t>
          </a:r>
          <a:r>
            <a:rPr lang="en-CA" sz="1100" b="1">
              <a:effectLst/>
              <a:latin typeface="Arial" panose="020B0604020202020204" pitchFamily="34" charset="0"/>
              <a:ea typeface="Calibri"/>
              <a:cs typeface="Arial" panose="020B0604020202020204" pitchFamily="34" charset="0"/>
            </a:rPr>
            <a:t>Lighting </a:t>
          </a:r>
          <a:r>
            <a:rPr lang="en-CA" sz="1100">
              <a:effectLst/>
              <a:latin typeface="Arial" panose="020B0604020202020204" pitchFamily="34" charset="0"/>
              <a:ea typeface="Calibri"/>
              <a:cs typeface="Arial" panose="020B0604020202020204" pitchFamily="34" charset="0"/>
            </a:rPr>
            <a:t>tab:</a:t>
          </a:r>
        </a:p>
        <a:p>
          <a:pPr marL="1143000" marR="0" lvl="2" indent="-228600">
            <a:lnSpc>
              <a:spcPct val="115000"/>
            </a:lnSpc>
            <a:spcBef>
              <a:spcPts val="0"/>
            </a:spcBef>
            <a:spcAft>
              <a:spcPts val="0"/>
            </a:spcAft>
            <a:buFont typeface="+mj-lt"/>
            <a:buAutoNum type="romanLcPeriod"/>
          </a:pPr>
          <a:r>
            <a:rPr lang="en-CA" sz="1100">
              <a:effectLst/>
              <a:latin typeface="Arial" panose="020B0604020202020204" pitchFamily="34" charset="0"/>
              <a:ea typeface="Calibri"/>
              <a:cs typeface="Arial" panose="020B0604020202020204" pitchFamily="34" charset="0"/>
            </a:rPr>
            <a:t>Note the following conditions:</a:t>
          </a:r>
        </a:p>
        <a:p>
          <a:pPr marL="1600200" marR="0" lvl="3" indent="-2286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All retrofits must only be one-to-one (lamp-to-lamp or luminaire-to-luminaire). </a:t>
          </a:r>
        </a:p>
        <a:p>
          <a:pPr marL="1600200" marR="0" lvl="3" indent="-2286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New controls are allowed for rebate on</a:t>
          </a:r>
          <a:r>
            <a:rPr lang="en-CA" sz="1100" baseline="0">
              <a:effectLst/>
              <a:latin typeface="Arial" panose="020B0604020202020204" pitchFamily="34" charset="0"/>
              <a:ea typeface="Calibri"/>
              <a:cs typeface="Arial" panose="020B0604020202020204" pitchFamily="34" charset="0"/>
            </a:rPr>
            <a:t> retrofit lamps/luminaires only</a:t>
          </a:r>
          <a:r>
            <a:rPr lang="en-CA" sz="1100">
              <a:effectLst/>
              <a:latin typeface="Arial" panose="020B0604020202020204" pitchFamily="34" charset="0"/>
              <a:ea typeface="Calibri"/>
              <a:cs typeface="Arial" panose="020B0604020202020204" pitchFamily="34" charset="0"/>
            </a:rPr>
            <a:t>. </a:t>
          </a:r>
          <a:endParaRPr lang="en-CA" sz="1100">
            <a:solidFill>
              <a:schemeClr val="accent1"/>
            </a:solidFill>
            <a:effectLst/>
            <a:latin typeface="Arial" panose="020B0604020202020204" pitchFamily="34" charset="0"/>
            <a:ea typeface="Calibri"/>
            <a:cs typeface="Arial" panose="020B0604020202020204" pitchFamily="34" charset="0"/>
          </a:endParaRPr>
        </a:p>
        <a:p>
          <a:pPr marL="1600200" marR="0" lvl="3" indent="-228600" defTabSz="914400" eaLnBrk="1" fontAlgn="auto" latinLnBrk="0" hangingPunct="1">
            <a:lnSpc>
              <a:spcPct val="115000"/>
            </a:lnSpc>
            <a:spcBef>
              <a:spcPts val="0"/>
            </a:spcBef>
            <a:spcAft>
              <a:spcPts val="0"/>
            </a:spcAft>
            <a:buClrTx/>
            <a:buSzTx/>
            <a:buFont typeface="+mj-lt"/>
            <a:buAutoNum type="arabicPeriod"/>
            <a:tabLst/>
            <a:defRPr/>
          </a:pPr>
          <a:r>
            <a:rPr lang="en-CA" sz="1100">
              <a:effectLst/>
              <a:latin typeface="Arial" panose="020B0604020202020204" pitchFamily="34" charset="0"/>
              <a:ea typeface="Calibri"/>
              <a:cs typeface="Arial" panose="020B0604020202020204" pitchFamily="34" charset="0"/>
            </a:rPr>
            <a:t>Model Part Numbers must be entered for retrofits.</a:t>
          </a:r>
          <a:endParaRPr lang="en-CA" sz="1100">
            <a:effectLst/>
            <a:latin typeface="Arial" panose="020B0604020202020204" pitchFamily="34" charset="0"/>
            <a:cs typeface="Arial" panose="020B0604020202020204" pitchFamily="34" charset="0"/>
          </a:endParaRPr>
        </a:p>
        <a:p>
          <a:pPr marL="1600200" marR="0" lvl="3" indent="-228600">
            <a:lnSpc>
              <a:spcPct val="115000"/>
            </a:lnSpc>
            <a:spcBef>
              <a:spcPts val="0"/>
            </a:spcBef>
            <a:spcAft>
              <a:spcPts val="0"/>
            </a:spcAft>
            <a:buFont typeface="+mj-lt"/>
            <a:buAutoNum type="arabicPeriod"/>
          </a:pPr>
          <a:r>
            <a:rPr lang="en-CA" sz="1100">
              <a:solidFill>
                <a:srgbClr val="FF0000"/>
              </a:solidFill>
              <a:effectLst/>
              <a:latin typeface="Arial" panose="020B0604020202020204" pitchFamily="34" charset="0"/>
              <a:ea typeface="Calibri"/>
              <a:cs typeface="Arial" panose="020B0604020202020204" pitchFamily="34" charset="0"/>
            </a:rPr>
            <a:t>A "Total Lighting Project Cost"</a:t>
          </a:r>
          <a:r>
            <a:rPr lang="en-CA" sz="1100" baseline="0">
              <a:solidFill>
                <a:srgbClr val="FF0000"/>
              </a:solidFill>
              <a:effectLst/>
              <a:latin typeface="Arial" panose="020B0604020202020204" pitchFamily="34" charset="0"/>
              <a:ea typeface="Calibri"/>
              <a:cs typeface="Arial" panose="020B0604020202020204" pitchFamily="34" charset="0"/>
            </a:rPr>
            <a:t> must be entered in Row 2.</a:t>
          </a:r>
          <a:endParaRPr lang="en-CA" sz="1100">
            <a:solidFill>
              <a:srgbClr val="FF0000"/>
            </a:solidFill>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Describe the Baseline / Existing Lighting Systems</a:t>
          </a:r>
          <a:endParaRPr lang="en-CA" sz="105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Space Type</a:t>
          </a:r>
          <a:r>
            <a:rPr lang="en-CA" sz="1100">
              <a:effectLst/>
              <a:latin typeface="Arial" panose="020B0604020202020204" pitchFamily="34" charset="0"/>
              <a:ea typeface="Calibri"/>
              <a:cs typeface="Arial" panose="020B0604020202020204" pitchFamily="34" charset="0"/>
            </a:rPr>
            <a:t> – choose the appropriate space type from the drop-down menu</a:t>
          </a: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Space Description</a:t>
          </a:r>
          <a:r>
            <a:rPr lang="en-CA" sz="1100">
              <a:effectLst/>
              <a:latin typeface="Arial" panose="020B0604020202020204" pitchFamily="34" charset="0"/>
              <a:ea typeface="Calibri"/>
              <a:cs typeface="Arial" panose="020B0604020202020204" pitchFamily="34" charset="0"/>
            </a:rPr>
            <a:t> – enter a description for the audited space/ room </a:t>
          </a: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Quantity of luminaires / lamps</a:t>
          </a:r>
          <a:r>
            <a:rPr lang="en-CA" sz="1100">
              <a:effectLst/>
              <a:latin typeface="Arial" panose="020B0604020202020204" pitchFamily="34" charset="0"/>
              <a:ea typeface="Calibri"/>
              <a:cs typeface="Arial" panose="020B0604020202020204" pitchFamily="34" charset="0"/>
            </a:rPr>
            <a:t> – enter the quantity of existing luminaires or lamps involved in the retrofit for the chosen technology. For example, for T8 lamps, enter the total</a:t>
          </a:r>
          <a:r>
            <a:rPr lang="en-CA" sz="1100" baseline="0">
              <a:effectLst/>
              <a:latin typeface="Arial" panose="020B0604020202020204" pitchFamily="34" charset="0"/>
              <a:ea typeface="Calibri"/>
              <a:cs typeface="Arial" panose="020B0604020202020204" pitchFamily="34" charset="0"/>
            </a:rPr>
            <a:t> quantity of individual T8 lamps.</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Annual hours</a:t>
          </a:r>
          <a:r>
            <a:rPr lang="en-CA" sz="1100" b="1" baseline="0">
              <a:effectLst/>
              <a:latin typeface="Arial" panose="020B0604020202020204" pitchFamily="34" charset="0"/>
              <a:ea typeface="Calibri"/>
              <a:cs typeface="Arial" panose="020B0604020202020204" pitchFamily="34" charset="0"/>
            </a:rPr>
            <a:t> from space type - </a:t>
          </a:r>
          <a:r>
            <a:rPr lang="en-CA" sz="1100" b="0" baseline="0">
              <a:effectLst/>
              <a:latin typeface="Arial" panose="020B0604020202020204" pitchFamily="34" charset="0"/>
              <a:ea typeface="Calibri"/>
              <a:cs typeface="Arial" panose="020B0604020202020204" pitchFamily="34" charset="0"/>
            </a:rPr>
            <a:t>displays the estimated annual operating hours based on space type selection</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BC Hydro Energy Measure Selection</a:t>
          </a:r>
          <a:endParaRPr lang="en-CA" sz="1050">
            <a:effectLst/>
            <a:latin typeface="Arial" panose="020B0604020202020204" pitchFamily="34" charset="0"/>
            <a:ea typeface="Calibri"/>
            <a:cs typeface="Arial" panose="020B0604020202020204" pitchFamily="34" charset="0"/>
          </a:endParaRP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Calibri"/>
              <a:cs typeface="Arial" panose="020B0604020202020204" pitchFamily="34" charset="0"/>
            </a:rPr>
            <a:t>Rebate Category</a:t>
          </a:r>
          <a:r>
            <a:rPr lang="en-CA" sz="1100">
              <a:effectLst/>
              <a:latin typeface="Arial" panose="020B0604020202020204" pitchFamily="34" charset="0"/>
              <a:ea typeface="Calibri"/>
              <a:cs typeface="Arial" panose="020B0604020202020204" pitchFamily="34" charset="0"/>
            </a:rPr>
            <a:t>- Select the measure that matches the installed lamp/luminaire wattage range.</a:t>
          </a:r>
          <a:endParaRPr lang="en-CA" sz="1100">
            <a:effectLst/>
          </a:endParaRP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mn-ea"/>
              <a:cs typeface="Arial" panose="020B0604020202020204" pitchFamily="34" charset="0"/>
            </a:rPr>
            <a:t>Wattage per new</a:t>
          </a:r>
          <a:r>
            <a:rPr lang="en-CA" sz="1100" b="1" baseline="0">
              <a:effectLst/>
              <a:latin typeface="Arial" panose="020B0604020202020204" pitchFamily="34" charset="0"/>
              <a:ea typeface="+mn-ea"/>
              <a:cs typeface="Arial" panose="020B0604020202020204" pitchFamily="34" charset="0"/>
            </a:rPr>
            <a:t> luminaire / lamp </a:t>
          </a:r>
          <a:r>
            <a:rPr lang="en-CA" sz="1100" baseline="0">
              <a:effectLst/>
              <a:latin typeface="Arial" panose="020B0604020202020204" pitchFamily="34" charset="0"/>
              <a:ea typeface="+mn-ea"/>
              <a:cs typeface="Arial" panose="020B0604020202020204" pitchFamily="34" charset="0"/>
            </a:rPr>
            <a:t>- </a:t>
          </a:r>
          <a:r>
            <a:rPr lang="en-CA" sz="1100" b="0" baseline="0">
              <a:effectLst/>
              <a:latin typeface="Arial" panose="020B0604020202020204" pitchFamily="34" charset="0"/>
              <a:ea typeface="+mn-ea"/>
              <a:cs typeface="Arial" panose="020B0604020202020204" pitchFamily="34" charset="0"/>
            </a:rPr>
            <a:t>enter in the input wattage per luminaire or lamp. For example, for T-LED, enter the input wattage for each individual T-LED lamp. </a:t>
          </a:r>
          <a:endParaRPr lang="en-CA" sz="1100">
            <a:effectLst/>
            <a:latin typeface="Arial" panose="020B0604020202020204" pitchFamily="34" charset="0"/>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Fixture</a:t>
          </a:r>
          <a:r>
            <a:rPr lang="en-CA" sz="1100" b="1" baseline="0">
              <a:effectLst/>
              <a:latin typeface="Arial" panose="020B0604020202020204" pitchFamily="34" charset="0"/>
              <a:ea typeface="Calibri"/>
              <a:cs typeface="Arial" panose="020B0604020202020204" pitchFamily="34" charset="0"/>
            </a:rPr>
            <a:t> Integrated Occupancy/Daylight Harvesting Sensors? </a:t>
          </a:r>
          <a:r>
            <a:rPr lang="en-CA" sz="1100" baseline="0">
              <a:effectLst/>
              <a:latin typeface="Arial" panose="020B0604020202020204" pitchFamily="34" charset="0"/>
              <a:ea typeface="Calibri"/>
              <a:cs typeface="Arial" panose="020B0604020202020204" pitchFamily="34" charset="0"/>
            </a:rPr>
            <a:t>- Select "Yes" if there are occupancy or daylight sensors built into the luminaire itself. Only valid for luminaires, not for lamps.</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Rebate per Luminaire </a:t>
          </a:r>
          <a:r>
            <a:rPr lang="en-CA" sz="1100">
              <a:effectLst/>
              <a:latin typeface="Arial" panose="020B0604020202020204" pitchFamily="34" charset="0"/>
              <a:ea typeface="Calibri"/>
              <a:cs typeface="Arial" panose="020B0604020202020204" pitchFamily="34" charset="0"/>
            </a:rPr>
            <a:t>– displays the listed rebate dollar value per unit of the selected rebate. Value</a:t>
          </a:r>
          <a:r>
            <a:rPr lang="en-CA" sz="1100" baseline="0">
              <a:effectLst/>
              <a:latin typeface="Arial" panose="020B0604020202020204" pitchFamily="34" charset="0"/>
              <a:ea typeface="Calibri"/>
              <a:cs typeface="Arial" panose="020B0604020202020204" pitchFamily="34" charset="0"/>
            </a:rPr>
            <a:t> changes if a "Fixture Integrated Occupancy/Daylight Harvesting Sensor" is selected as well.</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Rebate Unit</a:t>
          </a:r>
          <a:r>
            <a:rPr lang="en-CA" sz="1100">
              <a:effectLst/>
              <a:latin typeface="Arial" panose="020B0604020202020204" pitchFamily="34" charset="0"/>
              <a:ea typeface="Calibri"/>
              <a:cs typeface="Arial" panose="020B0604020202020204" pitchFamily="34" charset="0"/>
            </a:rPr>
            <a:t> – displays the unit of the selected rebate.  Rebate can be per luminaire</a:t>
          </a:r>
          <a:r>
            <a:rPr lang="en-CA" sz="1100" baseline="0">
              <a:effectLst/>
              <a:latin typeface="Arial" panose="020B0604020202020204" pitchFamily="34" charset="0"/>
              <a:ea typeface="Calibri"/>
              <a:cs typeface="Arial" panose="020B0604020202020204" pitchFamily="34" charset="0"/>
            </a:rPr>
            <a:t>, per lamp, per integrated luminaire, or per strip/module.</a:t>
          </a: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mn-ea"/>
              <a:cs typeface="Arial" panose="020B0604020202020204" pitchFamily="34" charset="0"/>
            </a:rPr>
            <a:t>LED lamp/luminaire retrofit part #</a:t>
          </a:r>
          <a:r>
            <a:rPr lang="en-CA" sz="1100">
              <a:effectLst/>
              <a:latin typeface="Arial" panose="020B0604020202020204" pitchFamily="34" charset="0"/>
              <a:ea typeface="+mn-ea"/>
              <a:cs typeface="Arial" panose="020B0604020202020204" pitchFamily="34" charset="0"/>
            </a:rPr>
            <a:t>- add specific energy efficient (LED) lamp or luminaire model numbers. This information is required</a:t>
          </a:r>
          <a:r>
            <a:rPr lang="en-CA" sz="1100" baseline="0">
              <a:effectLst/>
              <a:latin typeface="Arial" panose="020B0604020202020204" pitchFamily="34" charset="0"/>
              <a:ea typeface="+mn-ea"/>
              <a:cs typeface="Arial" panose="020B0604020202020204" pitchFamily="34" charset="0"/>
            </a:rPr>
            <a:t> to validate the installed equipment is eligible for incentives.</a:t>
          </a:r>
          <a:r>
            <a:rPr lang="en-CA" sz="1100">
              <a:effectLst/>
              <a:latin typeface="Arial" panose="020B0604020202020204" pitchFamily="34" charset="0"/>
              <a:ea typeface="+mn-ea"/>
              <a:cs typeface="Arial" panose="020B0604020202020204" pitchFamily="34" charset="0"/>
            </a:rPr>
            <a:t> </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Stand</a:t>
          </a:r>
          <a:r>
            <a:rPr lang="en-CA" sz="1100" b="1" u="sng" baseline="0">
              <a:effectLst/>
              <a:latin typeface="Arial" panose="020B0604020202020204" pitchFamily="34" charset="0"/>
              <a:ea typeface="Calibri"/>
              <a:cs typeface="Arial" panose="020B0604020202020204" pitchFamily="34" charset="0"/>
            </a:rPr>
            <a:t> A</a:t>
          </a:r>
          <a:r>
            <a:rPr lang="en-CA" sz="1100" b="1" u="sng">
              <a:effectLst/>
              <a:latin typeface="Arial" panose="020B0604020202020204" pitchFamily="34" charset="0"/>
              <a:ea typeface="Calibri"/>
              <a:cs typeface="Arial" panose="020B0604020202020204" pitchFamily="34" charset="0"/>
            </a:rPr>
            <a:t>lone Lighting Controls</a:t>
          </a:r>
          <a:endParaRPr lang="en-CA" sz="105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Stand Alone Ceiling/Wall Mounted Occupancy/Daylight Harvesting Sensors? – </a:t>
          </a:r>
          <a:r>
            <a:rPr lang="en-CA" sz="1100">
              <a:effectLst/>
              <a:latin typeface="Arial" panose="020B0604020202020204" pitchFamily="34" charset="0"/>
              <a:ea typeface="Calibri"/>
              <a:cs typeface="Arial" panose="020B0604020202020204" pitchFamily="34" charset="0"/>
            </a:rPr>
            <a:t>select "Yes" only if the</a:t>
          </a:r>
          <a:r>
            <a:rPr lang="en-CA" sz="1100" baseline="0">
              <a:effectLst/>
              <a:latin typeface="Arial" panose="020B0604020202020204" pitchFamily="34" charset="0"/>
              <a:ea typeface="Calibri"/>
              <a:cs typeface="Arial" panose="020B0604020202020204" pitchFamily="34" charset="0"/>
            </a:rPr>
            <a:t> sensors are not integrated into the luminaire, and will be mounted independently from the luminaire. This cell will only be active if "Fixture Integrated Sensors" are not used in column J</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Number of sensors -</a:t>
          </a:r>
          <a:r>
            <a:rPr lang="en-CA" sz="1100">
              <a:effectLst/>
              <a:latin typeface="Arial" panose="020B0604020202020204" pitchFamily="34" charset="0"/>
              <a:ea typeface="Calibri"/>
              <a:cs typeface="Arial" panose="020B0604020202020204" pitchFamily="34" charset="0"/>
            </a:rPr>
            <a:t> Enter the number of installed sensors for the</a:t>
          </a:r>
          <a:r>
            <a:rPr lang="en-CA" sz="1100" baseline="0">
              <a:effectLst/>
              <a:latin typeface="Arial" panose="020B0604020202020204" pitchFamily="34" charset="0"/>
              <a:ea typeface="Calibri"/>
              <a:cs typeface="Arial" panose="020B0604020202020204" pitchFamily="34" charset="0"/>
            </a:rPr>
            <a:t> specific area described in Column E "Space Description"</a:t>
          </a:r>
          <a:r>
            <a:rPr lang="en-CA" sz="1100">
              <a:effectLst/>
              <a:latin typeface="Arial" panose="020B0604020202020204" pitchFamily="34" charset="0"/>
              <a:ea typeface="Calibri"/>
              <a:cs typeface="Arial" panose="020B0604020202020204" pitchFamily="34" charset="0"/>
            </a:rPr>
            <a:t>.</a:t>
          </a: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Lighting Project Summary</a:t>
          </a:r>
          <a:endParaRPr lang="en-CA" sz="1050">
            <a:effectLst/>
            <a:latin typeface="Arial" panose="020B0604020202020204" pitchFamily="34" charset="0"/>
            <a:ea typeface="Calibri"/>
            <a:cs typeface="Arial" panose="020B0604020202020204" pitchFamily="34" charset="0"/>
          </a:endParaRP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Calibri"/>
              <a:cs typeface="Arial" panose="020B0604020202020204" pitchFamily="34" charset="0"/>
            </a:rPr>
            <a:t>BC Hydro Lighting Rebate</a:t>
          </a:r>
          <a:r>
            <a:rPr lang="en-CA" sz="1100">
              <a:effectLst/>
              <a:latin typeface="Arial" panose="020B0604020202020204" pitchFamily="34" charset="0"/>
              <a:ea typeface="Calibri"/>
              <a:cs typeface="Arial" panose="020B0604020202020204" pitchFamily="34" charset="0"/>
            </a:rPr>
            <a:t> – Estimated rebate amounts calculated by the workbook.</a:t>
          </a:r>
          <a:r>
            <a:rPr lang="en-CA" sz="1100">
              <a:effectLst/>
              <a:latin typeface="Arial" panose="020B0604020202020204" pitchFamily="34" charset="0"/>
              <a:ea typeface="+mn-ea"/>
              <a:cs typeface="Arial" panose="020B0604020202020204" pitchFamily="34" charset="0"/>
            </a:rPr>
            <a:t> Includes rebates for controls.</a:t>
          </a:r>
          <a:endParaRPr lang="en-CA" sz="1100">
            <a:effectLst/>
            <a:latin typeface="Arial" panose="020B0604020202020204" pitchFamily="34" charset="0"/>
            <a:cs typeface="Arial" panose="020B0604020202020204" pitchFamily="34" charset="0"/>
          </a:endParaRPr>
        </a:p>
        <a:p>
          <a:pPr marL="1143000" marR="0" lvl="2" indent="-228600" defTabSz="914400" eaLnBrk="1" fontAlgn="auto" latinLnBrk="0" hangingPunct="1">
            <a:lnSpc>
              <a:spcPct val="115000"/>
            </a:lnSpc>
            <a:spcBef>
              <a:spcPts val="0"/>
            </a:spcBef>
            <a:spcAft>
              <a:spcPts val="0"/>
            </a:spcAft>
            <a:buClrTx/>
            <a:buSzTx/>
            <a:buFont typeface="+mj-lt"/>
            <a:buAutoNum type="romanLcPeriod"/>
            <a:tabLst/>
            <a:defRPr/>
          </a:pPr>
          <a:r>
            <a:rPr lang="en-CA" sz="1100" b="1">
              <a:effectLst/>
              <a:latin typeface="Arial" panose="020B0604020202020204" pitchFamily="34" charset="0"/>
              <a:ea typeface="Calibri"/>
              <a:cs typeface="Arial" panose="020B0604020202020204" pitchFamily="34" charset="0"/>
            </a:rPr>
            <a:t>Demand Savings, kW </a:t>
          </a:r>
          <a:r>
            <a:rPr lang="en-CA" sz="110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Represents</a:t>
          </a:r>
          <a:r>
            <a:rPr lang="en-CA" sz="1100" baseline="0">
              <a:effectLst/>
              <a:latin typeface="Arial" panose="020B0604020202020204" pitchFamily="34" charset="0"/>
              <a:ea typeface="+mn-ea"/>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estimated demand savings.</a:t>
          </a:r>
          <a:endParaRPr lang="en-CA" sz="1100">
            <a:effectLst/>
            <a:latin typeface="Arial" panose="020B0604020202020204" pitchFamily="34" charset="0"/>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Energy</a:t>
          </a:r>
          <a:r>
            <a:rPr lang="en-CA" sz="1100" b="1" baseline="0">
              <a:effectLst/>
              <a:latin typeface="Arial" panose="020B0604020202020204" pitchFamily="34" charset="0"/>
              <a:ea typeface="Calibri"/>
              <a:cs typeface="Arial" panose="020B0604020202020204" pitchFamily="34" charset="0"/>
            </a:rPr>
            <a:t> Savings, kWh </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mn-ea"/>
              <a:cs typeface="Arial" panose="020B0604020202020204" pitchFamily="34" charset="0"/>
            </a:rPr>
            <a:t>Represents the annual energy savings.</a:t>
          </a:r>
          <a:endParaRPr lang="en-CA" sz="1100">
            <a:effectLst/>
            <a:latin typeface="Arial" panose="020B0604020202020204" pitchFamily="34" charset="0"/>
            <a:ea typeface="Calibri"/>
            <a:cs typeface="Arial" panose="020B0604020202020204" pitchFamily="34" charset="0"/>
          </a:endParaRPr>
        </a:p>
        <a:p>
          <a:pPr marL="685800" marR="0" lvl="1" indent="-228600">
            <a:lnSpc>
              <a:spcPct val="115000"/>
            </a:lnSpc>
            <a:spcBef>
              <a:spcPts val="0"/>
            </a:spcBef>
            <a:spcAft>
              <a:spcPts val="0"/>
            </a:spcAft>
            <a:buFont typeface="+mj-lt"/>
            <a:buAutoNum type="alphaLcPeriod"/>
          </a:pPr>
          <a:r>
            <a:rPr lang="en-CA" sz="1100" b="1" u="sng">
              <a:solidFill>
                <a:srgbClr val="FF0000"/>
              </a:solidFill>
              <a:effectLst/>
              <a:latin typeface="Arial" panose="020B0604020202020204" pitchFamily="34" charset="0"/>
              <a:ea typeface="+mn-ea"/>
              <a:cs typeface="Arial" panose="020B0604020202020204" pitchFamily="34" charset="0"/>
            </a:rPr>
            <a:t>Selected</a:t>
          </a:r>
          <a:r>
            <a:rPr lang="en-CA" sz="1100" b="1" u="sng" baseline="0">
              <a:solidFill>
                <a:srgbClr val="FF0000"/>
              </a:solidFill>
              <a:effectLst/>
              <a:latin typeface="Arial" panose="020B0604020202020204" pitchFamily="34" charset="0"/>
              <a:ea typeface="+mn-ea"/>
              <a:cs typeface="Arial" panose="020B0604020202020204" pitchFamily="34" charset="0"/>
            </a:rPr>
            <a:t> for Implementation (Column C)</a:t>
          </a:r>
          <a:r>
            <a:rPr lang="en-CA" sz="1100" b="1" u="none" baseline="0">
              <a:solidFill>
                <a:srgbClr val="FF0000"/>
              </a:solidFill>
              <a:effectLst/>
              <a:latin typeface="Arial" panose="020B0604020202020204" pitchFamily="34" charset="0"/>
              <a:ea typeface="+mn-ea"/>
              <a:cs typeface="Arial" panose="020B0604020202020204" pitchFamily="34" charset="0"/>
            </a:rPr>
            <a:t> - </a:t>
          </a:r>
          <a:r>
            <a:rPr lang="en-CA" sz="1100" b="0" u="none" baseline="0">
              <a:solidFill>
                <a:srgbClr val="FF0000"/>
              </a:solidFill>
              <a:effectLst/>
              <a:latin typeface="Arial" panose="020B0604020202020204" pitchFamily="34" charset="0"/>
              <a:ea typeface="+mn-ea"/>
              <a:cs typeface="Arial" panose="020B0604020202020204" pitchFamily="34" charset="0"/>
            </a:rPr>
            <a:t>select based on the following criteria (to be updated at each phase). Only measures selected as "Yes" will be included in the "Summary" Tab.</a:t>
          </a:r>
        </a:p>
        <a:p>
          <a:pPr marL="1200150" marR="0" lvl="2" indent="-285750">
            <a:lnSpc>
              <a:spcPct val="115000"/>
            </a:lnSpc>
            <a:spcBef>
              <a:spcPts val="0"/>
            </a:spcBef>
            <a:spcAft>
              <a:spcPts val="0"/>
            </a:spcAft>
            <a:buFont typeface="+mj-lt"/>
            <a:buAutoNum type="romanLcPeriod"/>
          </a:pPr>
          <a:r>
            <a:rPr lang="en-CA" sz="1100" b="0" u="none">
              <a:solidFill>
                <a:srgbClr val="FF0000"/>
              </a:solidFill>
              <a:effectLst/>
              <a:latin typeface="Arial" panose="020B0604020202020204" pitchFamily="34" charset="0"/>
              <a:ea typeface="+mn-ea"/>
              <a:cs typeface="Arial" panose="020B0604020202020204" pitchFamily="34" charset="0"/>
            </a:rPr>
            <a:t>In the </a:t>
          </a:r>
          <a:r>
            <a:rPr lang="en-CA" sz="1100" b="1" u="none">
              <a:solidFill>
                <a:srgbClr val="FF0000"/>
              </a:solidFill>
              <a:effectLst/>
              <a:latin typeface="Arial" panose="020B0604020202020204" pitchFamily="34" charset="0"/>
              <a:ea typeface="+mn-ea"/>
              <a:cs typeface="Arial" panose="020B0604020202020204" pitchFamily="34" charset="0"/>
            </a:rPr>
            <a:t>Study</a:t>
          </a:r>
          <a:r>
            <a:rPr lang="en-CA" sz="1100" b="0" u="none" baseline="0">
              <a:solidFill>
                <a:srgbClr val="FF0000"/>
              </a:solidFill>
              <a:effectLst/>
              <a:latin typeface="Arial" panose="020B0604020202020204" pitchFamily="34" charset="0"/>
              <a:ea typeface="+mn-ea"/>
              <a:cs typeface="Arial" panose="020B0604020202020204" pitchFamily="34" charset="0"/>
            </a:rPr>
            <a:t> phase:</a:t>
          </a:r>
        </a:p>
        <a:p>
          <a:pPr marL="1657350" marR="0" lvl="3"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Select "Yes" for measure recommended for implementation.</a:t>
          </a:r>
        </a:p>
        <a:p>
          <a:pPr marL="1657350" marR="0" lvl="3"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Select "No" for measures that are not recommended or are options (mutually exclusive) to measures recommended for implementation.</a:t>
          </a:r>
        </a:p>
        <a:p>
          <a:pPr marL="1200150" marR="0" lvl="2"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In the </a:t>
          </a:r>
          <a:r>
            <a:rPr lang="en-CA" sz="1100" b="1" u="none" baseline="0">
              <a:solidFill>
                <a:srgbClr val="FF0000"/>
              </a:solidFill>
              <a:effectLst/>
              <a:latin typeface="Arial" panose="020B0604020202020204" pitchFamily="34" charset="0"/>
              <a:ea typeface="+mn-ea"/>
              <a:cs typeface="Arial" panose="020B0604020202020204" pitchFamily="34" charset="0"/>
            </a:rPr>
            <a:t>Rebate Application </a:t>
          </a:r>
          <a:r>
            <a:rPr lang="en-CA" sz="1100" b="0" u="none" baseline="0">
              <a:solidFill>
                <a:srgbClr val="FF0000"/>
              </a:solidFill>
              <a:effectLst/>
              <a:latin typeface="Arial" panose="020B0604020202020204" pitchFamily="34" charset="0"/>
              <a:ea typeface="+mn-ea"/>
              <a:cs typeface="Arial" panose="020B0604020202020204" pitchFamily="34" charset="0"/>
            </a:rPr>
            <a:t>phase:</a:t>
          </a:r>
        </a:p>
        <a:p>
          <a:pPr marL="1657350" marR="0" lvl="3"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Select "Yes" for measures that will be implemented, all other measures should be selected as "No".</a:t>
          </a:r>
        </a:p>
        <a:p>
          <a:pPr marL="1200150" marR="0" lvl="2"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In the </a:t>
          </a:r>
          <a:r>
            <a:rPr lang="en-CA" sz="1100" b="1" u="none" baseline="0">
              <a:solidFill>
                <a:srgbClr val="FF0000"/>
              </a:solidFill>
              <a:effectLst/>
              <a:latin typeface="Arial" panose="020B0604020202020204" pitchFamily="34" charset="0"/>
              <a:ea typeface="+mn-ea"/>
              <a:cs typeface="Arial" panose="020B0604020202020204" pitchFamily="34" charset="0"/>
            </a:rPr>
            <a:t>As-built</a:t>
          </a:r>
          <a:r>
            <a:rPr lang="en-CA" sz="1100" b="0" u="none" baseline="0">
              <a:solidFill>
                <a:srgbClr val="FF0000"/>
              </a:solidFill>
              <a:effectLst/>
              <a:latin typeface="Arial" panose="020B0604020202020204" pitchFamily="34" charset="0"/>
              <a:ea typeface="+mn-ea"/>
              <a:cs typeface="Arial" panose="020B0604020202020204" pitchFamily="34" charset="0"/>
            </a:rPr>
            <a:t> phase:</a:t>
          </a:r>
        </a:p>
        <a:p>
          <a:pPr marL="1657350" marR="0" lvl="3" indent="-285750" defTabSz="914400" eaLnBrk="1" fontAlgn="auto" latinLnBrk="0" hangingPunct="1">
            <a:lnSpc>
              <a:spcPct val="115000"/>
            </a:lnSpc>
            <a:spcBef>
              <a:spcPts val="0"/>
            </a:spcBef>
            <a:spcAft>
              <a:spcPts val="0"/>
            </a:spcAft>
            <a:buClrTx/>
            <a:buSzTx/>
            <a:buFont typeface="+mj-lt"/>
            <a:buAutoNum type="romanLcPeriod"/>
            <a:tabLst/>
            <a:defRPr/>
          </a:pPr>
          <a:r>
            <a:rPr lang="en-CA" sz="1100" b="0" baseline="0">
              <a:solidFill>
                <a:srgbClr val="FF0000"/>
              </a:solidFill>
              <a:effectLst/>
              <a:latin typeface="Arial" panose="020B0604020202020204" pitchFamily="34" charset="0"/>
              <a:ea typeface="+mn-ea"/>
              <a:cs typeface="Arial" panose="020B0604020202020204" pitchFamily="34" charset="0"/>
            </a:rPr>
            <a:t>Select "Yes" for measures that have been implemented, all other measures should be selected as "No".</a:t>
          </a:r>
          <a:endParaRPr lang="en-CA" sz="1100" b="0" u="none">
            <a:solidFill>
              <a:srgbClr val="FF0000"/>
            </a:solidFill>
            <a:effectLst/>
            <a:latin typeface="Arial" panose="020B0604020202020204" pitchFamily="34" charset="0"/>
            <a:ea typeface="+mn-ea"/>
            <a:cs typeface="Arial" panose="020B0604020202020204" pitchFamily="34" charset="0"/>
          </a:endParaRPr>
        </a:p>
        <a:p>
          <a:pPr marL="342900" marR="0" lvl="0" indent="-3429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In the</a:t>
          </a:r>
          <a:r>
            <a:rPr lang="en-CA" sz="1100" b="1">
              <a:effectLst/>
              <a:latin typeface="Arial" panose="020B0604020202020204" pitchFamily="34" charset="0"/>
              <a:ea typeface="Calibri"/>
              <a:cs typeface="Arial" panose="020B0604020202020204" pitchFamily="34" charset="0"/>
            </a:rPr>
            <a:t> Mechanical </a:t>
          </a:r>
          <a:r>
            <a:rPr lang="en-CA" sz="1100">
              <a:effectLst/>
              <a:latin typeface="Arial" panose="020B0604020202020204" pitchFamily="34" charset="0"/>
              <a:ea typeface="Calibri"/>
              <a:cs typeface="Arial" panose="020B0604020202020204" pitchFamily="34" charset="0"/>
            </a:rPr>
            <a:t>tab:</a:t>
          </a:r>
        </a:p>
        <a:p>
          <a:pPr marL="1143000" marR="0" lvl="2" indent="-228600">
            <a:lnSpc>
              <a:spcPct val="115000"/>
            </a:lnSpc>
            <a:spcBef>
              <a:spcPts val="0"/>
            </a:spcBef>
            <a:spcAft>
              <a:spcPts val="0"/>
            </a:spcAft>
            <a:buFont typeface="+mj-lt"/>
            <a:buAutoNum type="romanLcPeriod"/>
          </a:pPr>
          <a:r>
            <a:rPr lang="en-CA" sz="1100">
              <a:effectLst/>
              <a:latin typeface="Arial" panose="020B0604020202020204" pitchFamily="34" charset="0"/>
              <a:ea typeface="Calibri"/>
              <a:cs typeface="Arial" panose="020B0604020202020204" pitchFamily="34" charset="0"/>
            </a:rPr>
            <a:t>Note the following for the listed End-uses,</a:t>
          </a:r>
          <a:r>
            <a:rPr lang="en-CA" sz="1100" baseline="0">
              <a:effectLst/>
              <a:latin typeface="Arial" panose="020B0604020202020204" pitchFamily="34" charset="0"/>
              <a:ea typeface="Calibri"/>
              <a:cs typeface="Arial" panose="020B0604020202020204" pitchFamily="34" charset="0"/>
            </a:rPr>
            <a:t> e</a:t>
          </a:r>
          <a:r>
            <a:rPr lang="en-CA" sz="1100">
              <a:effectLst/>
              <a:latin typeface="Arial" panose="020B0604020202020204" pitchFamily="34" charset="0"/>
              <a:ea typeface="+mn-ea"/>
              <a:cs typeface="Arial" panose="020B0604020202020204" pitchFamily="34" charset="0"/>
            </a:rPr>
            <a:t>ach measure selection within an end-use requires different inputs to estimate the energy impacts and incentive</a:t>
          </a:r>
          <a:r>
            <a:rPr lang="en-CA" sz="1100">
              <a:effectLst/>
              <a:latin typeface="Arial" panose="020B0604020202020204" pitchFamily="34" charset="0"/>
              <a:ea typeface="Calibri"/>
              <a:cs typeface="Arial" panose="020B0604020202020204" pitchFamily="34" charset="0"/>
            </a:rPr>
            <a:t>:</a:t>
          </a:r>
        </a:p>
        <a:p>
          <a:pPr marL="1600200" marR="0" lvl="3" indent="-2286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Domestic hot water (DHW):</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This measure is related to upgrading existing electric resistance</a:t>
          </a:r>
          <a:r>
            <a:rPr lang="en-CA" sz="1100" baseline="0">
              <a:effectLst/>
              <a:latin typeface="Arial" panose="020B0604020202020204" pitchFamily="34" charset="0"/>
              <a:ea typeface="Calibri"/>
              <a:cs typeface="Arial" panose="020B0604020202020204" pitchFamily="34" charset="0"/>
            </a:rPr>
            <a:t> water heaters</a:t>
          </a:r>
          <a:r>
            <a:rPr lang="en-CA" sz="1100">
              <a:effectLst/>
              <a:latin typeface="Arial" panose="020B0604020202020204" pitchFamily="34" charset="0"/>
              <a:ea typeface="Calibri"/>
              <a:cs typeface="Arial" panose="020B0604020202020204" pitchFamily="34" charset="0"/>
            </a:rPr>
            <a:t> </a:t>
          </a:r>
          <a:r>
            <a:rPr lang="en-CA" sz="1100" baseline="0">
              <a:effectLst/>
              <a:latin typeface="Arial" panose="020B0604020202020204" pitchFamily="34" charset="0"/>
              <a:ea typeface="Calibri"/>
              <a:cs typeface="Arial" panose="020B0604020202020204" pitchFamily="34" charset="0"/>
            </a:rPr>
            <a:t>with heat pump water heaters or electrifying gas fired water heaters with heat pump or electric resistance water heaters. Applicable input variables include:</a:t>
          </a:r>
        </a:p>
        <a:p>
          <a:pPr marL="2057400" marR="0" lvl="4" indent="-228600">
            <a:lnSpc>
              <a:spcPct val="115000"/>
            </a:lnSpc>
            <a:spcBef>
              <a:spcPts val="0"/>
            </a:spcBef>
            <a:spcAft>
              <a:spcPts val="0"/>
            </a:spcAft>
            <a:buFont typeface="+mj-lt"/>
            <a:buAutoNum type="arabicPeriod"/>
          </a:pPr>
          <a:r>
            <a:rPr lang="en-CA" sz="1100" u="sng" baseline="0">
              <a:effectLst/>
              <a:latin typeface="Arial" panose="020B0604020202020204" pitchFamily="34" charset="0"/>
              <a:ea typeface="Calibri"/>
              <a:cs typeface="Arial" panose="020B0604020202020204" pitchFamily="34" charset="0"/>
            </a:rPr>
            <a:t>Number of suites served</a:t>
          </a:r>
          <a:r>
            <a:rPr lang="en-CA" sz="1100" baseline="0">
              <a:effectLst/>
              <a:latin typeface="Arial" panose="020B0604020202020204" pitchFamily="34" charset="0"/>
              <a:ea typeface="Calibri"/>
              <a:cs typeface="Arial" panose="020B0604020202020204" pitchFamily="34" charset="0"/>
            </a:rPr>
            <a:t> - total number of suites served by baseline and proposed system.</a:t>
          </a:r>
        </a:p>
        <a:p>
          <a:pPr marL="2057400" marR="0" lvl="4" indent="-228600">
            <a:lnSpc>
              <a:spcPct val="115000"/>
            </a:lnSpc>
            <a:spcBef>
              <a:spcPts val="0"/>
            </a:spcBef>
            <a:spcAft>
              <a:spcPts val="0"/>
            </a:spcAft>
            <a:buFont typeface="+mj-lt"/>
            <a:buAutoNum type="arabicPeriod"/>
          </a:pPr>
          <a:r>
            <a:rPr lang="en-CA" sz="1100" u="sng" baseline="0">
              <a:effectLst/>
              <a:latin typeface="Arial" panose="020B0604020202020204" pitchFamily="34" charset="0"/>
              <a:ea typeface="Calibri"/>
              <a:cs typeface="Arial" panose="020B0604020202020204" pitchFamily="34" charset="0"/>
            </a:rPr>
            <a:t>Quantity</a:t>
          </a:r>
          <a:r>
            <a:rPr lang="en-CA" sz="1100" baseline="0">
              <a:effectLst/>
              <a:latin typeface="Arial" panose="020B0604020202020204" pitchFamily="34" charset="0"/>
              <a:ea typeface="Calibri"/>
              <a:cs typeface="Arial" panose="020B0604020202020204" pitchFamily="34" charset="0"/>
            </a:rPr>
            <a:t> - number of units installed. For central systems, this value will may be 1 and for insuite units this number will be the number of suites served.</a:t>
          </a:r>
        </a:p>
        <a:p>
          <a:pPr marL="2057400" marR="0" lvl="4" indent="-228600">
            <a:lnSpc>
              <a:spcPct val="115000"/>
            </a:lnSpc>
            <a:spcBef>
              <a:spcPts val="0"/>
            </a:spcBef>
            <a:spcAft>
              <a:spcPts val="0"/>
            </a:spcAft>
            <a:buFont typeface="+mj-lt"/>
            <a:buAutoNum type="arabicPeriod"/>
          </a:pPr>
          <a:r>
            <a:rPr lang="en-CA" sz="1100" u="sng" baseline="0">
              <a:effectLst/>
              <a:latin typeface="Arial" panose="020B0604020202020204" pitchFamily="34" charset="0"/>
              <a:ea typeface="Calibri"/>
              <a:cs typeface="Arial" panose="020B0604020202020204" pitchFamily="34" charset="0"/>
            </a:rPr>
            <a:t>Total Heating Capacity (kBTu/hr) </a:t>
          </a:r>
          <a:r>
            <a:rPr lang="en-CA" sz="1100" baseline="0">
              <a:effectLst/>
              <a:latin typeface="Arial" panose="020B0604020202020204" pitchFamily="34" charset="0"/>
              <a:ea typeface="Calibri"/>
              <a:cs typeface="Arial" panose="020B0604020202020204" pitchFamily="34" charset="0"/>
            </a:rPr>
            <a:t>- total heating capacity of the central system or the combined total of all individual in-suite units.</a:t>
          </a:r>
        </a:p>
        <a:p>
          <a:pPr marL="2057400" marR="0" lvl="4" indent="-228600">
            <a:lnSpc>
              <a:spcPct val="115000"/>
            </a:lnSpc>
            <a:spcBef>
              <a:spcPts val="0"/>
            </a:spcBef>
            <a:spcAft>
              <a:spcPts val="0"/>
            </a:spcAft>
            <a:buFont typeface="+mj-lt"/>
            <a:buAutoNum type="arabicPeriod"/>
          </a:pPr>
          <a:r>
            <a:rPr lang="en-CA" sz="1100" u="sng" baseline="0">
              <a:effectLst/>
              <a:latin typeface="Arial" panose="020B0604020202020204" pitchFamily="34" charset="0"/>
              <a:ea typeface="Calibri"/>
              <a:cs typeface="Arial" panose="020B0604020202020204" pitchFamily="34" charset="0"/>
            </a:rPr>
            <a:t>Total Capital Cost ($)</a:t>
          </a:r>
          <a:r>
            <a:rPr lang="en-CA" sz="1100" u="none" baseline="0">
              <a:effectLst/>
              <a:latin typeface="Arial" panose="020B0604020202020204" pitchFamily="34" charset="0"/>
              <a:ea typeface="Calibri"/>
              <a:cs typeface="Arial" panose="020B0604020202020204" pitchFamily="34" charset="0"/>
            </a:rPr>
            <a:t> - Cost of the total project, expected accuracy is +/-30%. This does not include cost for electrical service upgrade.</a:t>
          </a:r>
          <a:endParaRPr lang="en-CA" sz="1100" u="sng">
            <a:effectLst/>
            <a:latin typeface="Arial" panose="020B0604020202020204" pitchFamily="34" charset="0"/>
            <a:ea typeface="Calibri"/>
            <a:cs typeface="Arial" panose="020B0604020202020204" pitchFamily="34" charset="0"/>
          </a:endParaRPr>
        </a:p>
        <a:p>
          <a:pPr marL="1600200" marR="0" lvl="3" indent="-2286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HVAC:</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The measures related to</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upgrading existing gas fired or electric resistance heating system for</a:t>
          </a:r>
          <a:r>
            <a:rPr lang="en-CA" sz="1100" baseline="0">
              <a:effectLst/>
              <a:latin typeface="Arial" panose="020B0604020202020204" pitchFamily="34" charset="0"/>
              <a:ea typeface="Calibri"/>
              <a:cs typeface="Arial" panose="020B0604020202020204" pitchFamily="34" charset="0"/>
            </a:rPr>
            <a:t> residential suites or common areas </a:t>
          </a:r>
          <a:r>
            <a:rPr lang="en-CA" sz="1100">
              <a:effectLst/>
              <a:latin typeface="Arial" panose="020B0604020202020204" pitchFamily="34" charset="0"/>
              <a:ea typeface="Calibri"/>
              <a:cs typeface="Arial" panose="020B0604020202020204" pitchFamily="34" charset="0"/>
            </a:rPr>
            <a:t>with new air to air heat</a:t>
          </a:r>
          <a:r>
            <a:rPr lang="en-CA" sz="1100" baseline="0">
              <a:effectLst/>
              <a:latin typeface="Arial" panose="020B0604020202020204" pitchFamily="34" charset="0"/>
              <a:ea typeface="Calibri"/>
              <a:cs typeface="Arial" panose="020B0604020202020204" pitchFamily="34" charset="0"/>
            </a:rPr>
            <a:t> pumps</a:t>
          </a:r>
          <a:r>
            <a:rPr lang="en-CA" sz="1100">
              <a:effectLst/>
              <a:latin typeface="Arial" panose="020B0604020202020204" pitchFamily="34" charset="0"/>
              <a:ea typeface="Calibri"/>
              <a:cs typeface="Arial" panose="020B0604020202020204" pitchFamily="34" charset="0"/>
            </a:rPr>
            <a:t>. Applicable input variables include:</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Number of Suites and/or Common Area Served </a:t>
          </a:r>
          <a:r>
            <a:rPr lang="en-CA" sz="1100" b="0" baseline="0">
              <a:effectLst/>
              <a:latin typeface="Arial" panose="020B0604020202020204" pitchFamily="34" charset="0"/>
              <a:ea typeface="Calibri"/>
              <a:cs typeface="Arial" panose="020B0604020202020204" pitchFamily="34" charset="0"/>
            </a:rPr>
            <a:t>- sum of the total suites or common areas served by the proposed system. Common area includes individual spaces only, not corridors.</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New Number of Indoor Heads </a:t>
          </a:r>
          <a:r>
            <a:rPr lang="en-CA" sz="1100" b="0" baseline="0">
              <a:effectLst/>
              <a:latin typeface="Arial" panose="020B0604020202020204" pitchFamily="34" charset="0"/>
              <a:ea typeface="Calibri"/>
              <a:cs typeface="Arial" panose="020B0604020202020204" pitchFamily="34" charset="0"/>
            </a:rPr>
            <a:t>- total amount of multi-split indoor heads installed; for example, 12 suites are retrofitted with multi-split units, each suite with 3 heads, enter 36.</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New Quantity</a:t>
          </a:r>
          <a:r>
            <a:rPr lang="en-CA" sz="1100" b="0" baseline="0">
              <a:effectLst/>
              <a:latin typeface="Arial" panose="020B0604020202020204" pitchFamily="34" charset="0"/>
              <a:ea typeface="Calibri"/>
              <a:cs typeface="Arial" panose="020B0604020202020204" pitchFamily="34" charset="0"/>
            </a:rPr>
            <a:t> - total amount of new PTHP or mini-splits installed; for example, 20 suites are retrofitted, each suite has 2 units, enter 40.</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Total Heating Capacity (kBtu/hr or MBH)</a:t>
          </a:r>
          <a:r>
            <a:rPr lang="en-CA" sz="1100" b="0" baseline="0">
              <a:effectLst/>
              <a:latin typeface="Arial" panose="020B0604020202020204" pitchFamily="34" charset="0"/>
              <a:ea typeface="Calibri"/>
              <a:cs typeface="Arial" panose="020B0604020202020204" pitchFamily="34" charset="0"/>
            </a:rPr>
            <a:t> - combined heating capacity of all the proposed units; if there are 10 x 12,000 Btu/hr units and 5 x 18,000 Btu/hr units, enter 210. Heating capacity is the rated capacity at 47F/8.3C per AHRI.</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mn-ea"/>
              <a:cs typeface="Arial" panose="020B0604020202020204" pitchFamily="34" charset="0"/>
            </a:rPr>
            <a:t>Total Cooling Capacity (Tons)</a:t>
          </a:r>
          <a:r>
            <a:rPr lang="en-CA" sz="1100" b="0" baseline="0">
              <a:effectLst/>
              <a:latin typeface="Arial" panose="020B0604020202020204" pitchFamily="34" charset="0"/>
              <a:ea typeface="+mn-ea"/>
              <a:cs typeface="Arial" panose="020B0604020202020204" pitchFamily="34" charset="0"/>
            </a:rPr>
            <a:t> - combined cooling capacity of all MUA units (12 kBtu/hr = 12  MBH = 1 Ton).</a:t>
          </a:r>
          <a:endParaRPr lang="en-CA" sz="1100" b="0" u="sng" baseline="0">
            <a:effectLst/>
            <a:latin typeface="Arial" panose="020B0604020202020204" pitchFamily="34" charset="0"/>
            <a:ea typeface="Calibri"/>
            <a:cs typeface="Arial" panose="020B0604020202020204" pitchFamily="34" charset="0"/>
          </a:endParaRP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Efficiency Ratings (HSPF2, SEER2, COPh, EER) </a:t>
          </a:r>
          <a:r>
            <a:rPr lang="en-CA" sz="1100" b="0" baseline="0">
              <a:effectLst/>
              <a:latin typeface="Arial" panose="020B0604020202020204" pitchFamily="34" charset="0"/>
              <a:ea typeface="Calibri"/>
              <a:cs typeface="Arial" panose="020B0604020202020204" pitchFamily="34" charset="0"/>
            </a:rPr>
            <a:t>- equipment efficiency as reported in AHRI product list. Where HSPF2 or SEER2 rating is not available, enter HSPF and SEER as such "HSPF-10".</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Calibri"/>
              <a:cs typeface="Arial" panose="020B0604020202020204" pitchFamily="34" charset="0"/>
            </a:rPr>
            <a:t>Total Capital Cost ($) </a:t>
          </a:r>
          <a:r>
            <a:rPr lang="en-CA" sz="1100" b="0" baseline="0">
              <a:effectLst/>
              <a:latin typeface="Arial" panose="020B0604020202020204" pitchFamily="34" charset="0"/>
              <a:ea typeface="Calibri"/>
              <a:cs typeface="Arial" panose="020B0604020202020204" pitchFamily="34" charset="0"/>
            </a:rPr>
            <a:t>- Cost of the total project</a:t>
          </a:r>
          <a:r>
            <a:rPr lang="en-CA" sz="1100" baseline="0">
              <a:effectLst/>
              <a:latin typeface="Arial" panose="020B0604020202020204" pitchFamily="34" charset="0"/>
              <a:ea typeface="+mn-ea"/>
              <a:cs typeface="Arial" panose="020B0604020202020204" pitchFamily="34" charset="0"/>
            </a:rPr>
            <a:t>, expected accuracy is +/-30%. This does not include cost for electrical service upgrade.</a:t>
          </a:r>
          <a:endParaRPr lang="en-CA" sz="1100">
            <a:effectLst/>
            <a:latin typeface="Arial" panose="020B0604020202020204" pitchFamily="34" charset="0"/>
            <a:ea typeface="Calibri"/>
            <a:cs typeface="Arial" panose="020B0604020202020204" pitchFamily="34" charset="0"/>
          </a:endParaRPr>
        </a:p>
        <a:p>
          <a:pPr marL="1600200" marR="0" lvl="3" indent="-228600" defTabSz="914400" eaLnBrk="1" fontAlgn="auto" latinLnBrk="0" hangingPunct="1">
            <a:lnSpc>
              <a:spcPct val="115000"/>
            </a:lnSpc>
            <a:spcBef>
              <a:spcPts val="0"/>
            </a:spcBef>
            <a:spcAft>
              <a:spcPts val="0"/>
            </a:spcAft>
            <a:buClrTx/>
            <a:buSzTx/>
            <a:buFont typeface="+mj-lt"/>
            <a:buAutoNum type="arabicPeriod"/>
            <a:tabLst/>
            <a:defRPr/>
          </a:pPr>
          <a:r>
            <a:rPr lang="en-CA" sz="1100">
              <a:effectLst/>
              <a:latin typeface="Arial" panose="020B0604020202020204" pitchFamily="34" charset="0"/>
              <a:ea typeface="Calibri"/>
              <a:cs typeface="Arial" panose="020B0604020202020204" pitchFamily="34" charset="0"/>
            </a:rPr>
            <a:t>Mechanical:</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The measures related to Mechanical section are for installing variable speed drive to fan or pump motors or installing CO sensor control for parkade exhaust. </a:t>
          </a:r>
          <a:r>
            <a:rPr lang="en-CA" sz="1100">
              <a:effectLst/>
              <a:latin typeface="Arial" panose="020B0604020202020204" pitchFamily="34" charset="0"/>
              <a:ea typeface="+mn-ea"/>
              <a:cs typeface="Arial" panose="020B0604020202020204" pitchFamily="34" charset="0"/>
            </a:rPr>
            <a:t>Applicable input variables include:</a:t>
          </a:r>
          <a:endParaRPr lang="en-CA" sz="1100">
            <a:effectLst/>
            <a:latin typeface="Arial" panose="020B0604020202020204" pitchFamily="34" charset="0"/>
            <a:cs typeface="Arial" panose="020B0604020202020204" pitchFamily="34" charset="0"/>
          </a:endParaRPr>
        </a:p>
        <a:p>
          <a:pPr marL="2057400" marR="0" lvl="4" indent="-228600">
            <a:lnSpc>
              <a:spcPct val="115000"/>
            </a:lnSpc>
            <a:spcBef>
              <a:spcPts val="0"/>
            </a:spcBef>
            <a:spcAft>
              <a:spcPts val="0"/>
            </a:spcAft>
            <a:buFont typeface="+mj-lt"/>
            <a:buAutoNum type="arabicPeriod"/>
          </a:pPr>
          <a:r>
            <a:rPr lang="en-CA" sz="1100" u="sng">
              <a:effectLst/>
              <a:latin typeface="Arial" panose="020B0604020202020204" pitchFamily="34" charset="0"/>
              <a:ea typeface="Calibri"/>
              <a:cs typeface="Arial" panose="020B0604020202020204" pitchFamily="34" charset="0"/>
            </a:rPr>
            <a:t>Motor HP</a:t>
          </a:r>
          <a:r>
            <a:rPr lang="en-CA" sz="1100" u="none">
              <a:effectLst/>
              <a:latin typeface="Arial" panose="020B0604020202020204" pitchFamily="34" charset="0"/>
              <a:ea typeface="Calibri"/>
              <a:cs typeface="Arial" panose="020B0604020202020204" pitchFamily="34" charset="0"/>
            </a:rPr>
            <a:t> -</a:t>
          </a:r>
          <a:r>
            <a:rPr lang="en-CA" sz="1100" u="none" baseline="0">
              <a:effectLst/>
              <a:latin typeface="Arial" panose="020B0604020202020204" pitchFamily="34" charset="0"/>
              <a:ea typeface="Calibri"/>
              <a:cs typeface="Arial" panose="020B0604020202020204" pitchFamily="34" charset="0"/>
            </a:rPr>
            <a:t> HP of the motor being retrofitted, this is not the combined total HP. </a:t>
          </a:r>
          <a:endParaRPr lang="en-CA" sz="1100" u="sng">
            <a:effectLst/>
            <a:latin typeface="Arial" panose="020B0604020202020204" pitchFamily="34" charset="0"/>
            <a:ea typeface="Calibri"/>
            <a:cs typeface="Arial" panose="020B0604020202020204" pitchFamily="34" charset="0"/>
          </a:endParaRPr>
        </a:p>
        <a:p>
          <a:pPr marL="2057400" marR="0" lvl="4" indent="-228600">
            <a:lnSpc>
              <a:spcPct val="115000"/>
            </a:lnSpc>
            <a:spcBef>
              <a:spcPts val="0"/>
            </a:spcBef>
            <a:spcAft>
              <a:spcPts val="0"/>
            </a:spcAft>
            <a:buFont typeface="+mj-lt"/>
            <a:buAutoNum type="arabicPeriod"/>
          </a:pPr>
          <a:r>
            <a:rPr lang="en-CA" sz="1100" u="sng">
              <a:effectLst/>
              <a:latin typeface="Arial" panose="020B0604020202020204" pitchFamily="34" charset="0"/>
              <a:ea typeface="Calibri"/>
              <a:cs typeface="Arial" panose="020B0604020202020204" pitchFamily="34" charset="0"/>
            </a:rPr>
            <a:t>Quantity</a:t>
          </a:r>
          <a:r>
            <a:rPr lang="en-CA" sz="1100" u="none">
              <a:effectLst/>
              <a:latin typeface="Arial" panose="020B0604020202020204" pitchFamily="34" charset="0"/>
              <a:ea typeface="Calibri"/>
              <a:cs typeface="Arial" panose="020B0604020202020204" pitchFamily="34" charset="0"/>
            </a:rPr>
            <a:t> - Number of VSD</a:t>
          </a:r>
          <a:r>
            <a:rPr lang="en-CA" sz="1100" u="none" baseline="0">
              <a:effectLst/>
              <a:latin typeface="Arial" panose="020B0604020202020204" pitchFamily="34" charset="0"/>
              <a:ea typeface="Calibri"/>
              <a:cs typeface="Arial" panose="020B0604020202020204" pitchFamily="34" charset="0"/>
            </a:rPr>
            <a:t> or CO sensors being installed.</a:t>
          </a:r>
          <a:endParaRPr lang="en-CA" sz="1100" u="none">
            <a:effectLst/>
            <a:latin typeface="Arial" panose="020B0604020202020204" pitchFamily="34" charset="0"/>
            <a:ea typeface="Calibri"/>
            <a:cs typeface="Arial" panose="020B0604020202020204" pitchFamily="34" charset="0"/>
          </a:endParaRPr>
        </a:p>
        <a:p>
          <a:pPr marL="2057400" marR="0" lvl="4" indent="-228600">
            <a:lnSpc>
              <a:spcPct val="115000"/>
            </a:lnSpc>
            <a:spcBef>
              <a:spcPts val="0"/>
            </a:spcBef>
            <a:spcAft>
              <a:spcPts val="0"/>
            </a:spcAft>
            <a:buFont typeface="+mj-lt"/>
            <a:buAutoNum type="arabicPeriod"/>
          </a:pPr>
          <a:r>
            <a:rPr lang="en-CA" sz="1100" u="sng">
              <a:effectLst/>
              <a:latin typeface="Arial" panose="020B0604020202020204" pitchFamily="34" charset="0"/>
              <a:ea typeface="Calibri"/>
              <a:cs typeface="Arial" panose="020B0604020202020204" pitchFamily="34" charset="0"/>
            </a:rPr>
            <a:t>Run Hours (Baseline)</a:t>
          </a:r>
          <a:r>
            <a:rPr lang="en-CA" sz="1100" u="none">
              <a:effectLst/>
              <a:latin typeface="Arial" panose="020B0604020202020204" pitchFamily="34" charset="0"/>
              <a:ea typeface="Calibri"/>
              <a:cs typeface="Arial" panose="020B0604020202020204" pitchFamily="34" charset="0"/>
            </a:rPr>
            <a:t> </a:t>
          </a:r>
          <a:r>
            <a:rPr lang="en-CA" sz="1100" u="none" baseline="0">
              <a:effectLst/>
              <a:latin typeface="Arial" panose="020B0604020202020204" pitchFamily="34" charset="0"/>
              <a:ea typeface="Calibri"/>
              <a:cs typeface="Arial" panose="020B0604020202020204" pitchFamily="34" charset="0"/>
            </a:rPr>
            <a:t> - estimated runtime of the existing motor or parkade exhaust fan</a:t>
          </a:r>
        </a:p>
        <a:p>
          <a:pPr marL="2057400" marR="0" lvl="4" indent="-228600">
            <a:lnSpc>
              <a:spcPct val="115000"/>
            </a:lnSpc>
            <a:spcBef>
              <a:spcPts val="0"/>
            </a:spcBef>
            <a:spcAft>
              <a:spcPts val="0"/>
            </a:spcAft>
            <a:buFont typeface="+mj-lt"/>
            <a:buAutoNum type="arabicPeriod"/>
          </a:pPr>
          <a:r>
            <a:rPr lang="en-CA" sz="1100" u="sng">
              <a:effectLst/>
              <a:latin typeface="Arial" panose="020B0604020202020204" pitchFamily="34" charset="0"/>
              <a:ea typeface="Calibri"/>
              <a:cs typeface="Arial" panose="020B0604020202020204" pitchFamily="34" charset="0"/>
            </a:rPr>
            <a:t>Run Hours</a:t>
          </a:r>
          <a:r>
            <a:rPr lang="en-CA" sz="1100" u="sng" baseline="0">
              <a:effectLst/>
              <a:latin typeface="Arial" panose="020B0604020202020204" pitchFamily="34" charset="0"/>
              <a:ea typeface="Calibri"/>
              <a:cs typeface="Arial" panose="020B0604020202020204" pitchFamily="34" charset="0"/>
            </a:rPr>
            <a:t> (Retrofit)</a:t>
          </a:r>
          <a:r>
            <a:rPr lang="en-CA" sz="1100" u="none" baseline="0">
              <a:effectLst/>
              <a:latin typeface="Arial" panose="020B0604020202020204" pitchFamily="34" charset="0"/>
              <a:ea typeface="Calibri"/>
              <a:cs typeface="Arial" panose="020B0604020202020204" pitchFamily="34" charset="0"/>
            </a:rPr>
            <a:t> - estimated runtime of the proposed motor or parkade exhaust fan. Proposed runtime for VSD retrofits may be the same as the baseline but for CO sensor installs parkade exhaust runtime should be reduced. </a:t>
          </a:r>
        </a:p>
        <a:p>
          <a:pPr marL="2057400" marR="0" lvl="4" indent="-228600">
            <a:lnSpc>
              <a:spcPct val="115000"/>
            </a:lnSpc>
            <a:spcBef>
              <a:spcPts val="0"/>
            </a:spcBef>
            <a:spcAft>
              <a:spcPts val="0"/>
            </a:spcAft>
            <a:buFont typeface="+mj-lt"/>
            <a:buAutoNum type="arabicPeriod"/>
          </a:pPr>
          <a:r>
            <a:rPr lang="en-CA" sz="1100" b="0" u="sng" baseline="0">
              <a:effectLst/>
              <a:latin typeface="Arial" panose="020B0604020202020204" pitchFamily="34" charset="0"/>
              <a:ea typeface="+mn-ea"/>
              <a:cs typeface="Arial" panose="020B0604020202020204" pitchFamily="34" charset="0"/>
            </a:rPr>
            <a:t>Total Capital Cost ($) </a:t>
          </a:r>
          <a:r>
            <a:rPr lang="en-CA" sz="1100" b="0" baseline="0">
              <a:effectLst/>
              <a:latin typeface="Arial" panose="020B0604020202020204" pitchFamily="34" charset="0"/>
              <a:ea typeface="+mn-ea"/>
              <a:cs typeface="Arial" panose="020B0604020202020204" pitchFamily="34" charset="0"/>
            </a:rPr>
            <a:t>- Cost of the total project</a:t>
          </a:r>
          <a:r>
            <a:rPr lang="en-CA" sz="1100" baseline="0">
              <a:effectLst/>
              <a:latin typeface="Arial" panose="020B0604020202020204" pitchFamily="34" charset="0"/>
              <a:ea typeface="+mn-ea"/>
              <a:cs typeface="Arial" panose="020B0604020202020204" pitchFamily="34" charset="0"/>
            </a:rPr>
            <a:t>, expected accuracy is +/-30%.</a:t>
          </a:r>
          <a:endParaRPr lang="en-CA" sz="1100" u="sng">
            <a:effectLst/>
            <a:latin typeface="Arial" panose="020B0604020202020204" pitchFamily="34" charset="0"/>
            <a:ea typeface="Calibri"/>
            <a:cs typeface="Arial" panose="020B0604020202020204" pitchFamily="34" charset="0"/>
          </a:endParaRPr>
        </a:p>
        <a:p>
          <a:pPr marL="1600200" marR="0" lvl="3" indent="-228600" defTabSz="914400" eaLnBrk="1" fontAlgn="auto" latinLnBrk="0" hangingPunct="1">
            <a:lnSpc>
              <a:spcPct val="115000"/>
            </a:lnSpc>
            <a:spcBef>
              <a:spcPts val="0"/>
            </a:spcBef>
            <a:spcAft>
              <a:spcPts val="0"/>
            </a:spcAft>
            <a:buClrTx/>
            <a:buSzTx/>
            <a:buFont typeface="+mj-lt"/>
            <a:buAutoNum type="arabicPeriod"/>
            <a:tabLst/>
            <a:defRPr/>
          </a:pPr>
          <a:r>
            <a:rPr lang="en-CA" sz="1100">
              <a:effectLst/>
              <a:latin typeface="Arial" panose="020B0604020202020204" pitchFamily="34" charset="0"/>
              <a:ea typeface="Calibri"/>
              <a:cs typeface="Arial" panose="020B0604020202020204" pitchFamily="34" charset="0"/>
            </a:rPr>
            <a:t>Envelope (Applicable</a:t>
          </a:r>
          <a:r>
            <a:rPr lang="en-CA" sz="1100" baseline="0">
              <a:effectLst/>
              <a:latin typeface="Arial" panose="020B0604020202020204" pitchFamily="34" charset="0"/>
              <a:ea typeface="Calibri"/>
              <a:cs typeface="Arial" panose="020B0604020202020204" pitchFamily="34" charset="0"/>
            </a:rPr>
            <a:t> only for electrically heated buildings)</a:t>
          </a:r>
          <a:r>
            <a:rPr lang="en-CA" sz="1100">
              <a:effectLst/>
              <a:latin typeface="Arial" panose="020B0604020202020204" pitchFamily="34" charset="0"/>
              <a:ea typeface="Calibri"/>
              <a:cs typeface="Arial" panose="020B0604020202020204" pitchFamily="34" charset="0"/>
            </a:rPr>
            <a:t>: This measure is related to improving </a:t>
          </a:r>
          <a:r>
            <a:rPr lang="en-CA" sz="1100" baseline="0">
              <a:effectLst/>
              <a:latin typeface="Arial" panose="020B0604020202020204" pitchFamily="34" charset="0"/>
              <a:ea typeface="Calibri"/>
              <a:cs typeface="Arial" panose="020B0604020202020204" pitchFamily="34" charset="0"/>
            </a:rPr>
            <a:t>glazing performance. </a:t>
          </a:r>
          <a:r>
            <a:rPr lang="en-CA" sz="1100">
              <a:effectLst/>
              <a:latin typeface="Arial" panose="020B0604020202020204" pitchFamily="34" charset="0"/>
              <a:ea typeface="+mn-ea"/>
              <a:cs typeface="Arial" panose="020B0604020202020204" pitchFamily="34" charset="0"/>
            </a:rPr>
            <a:t>Applicable input variables include:</a:t>
          </a:r>
          <a:r>
            <a:rPr lang="en-CA" sz="1100" baseline="0">
              <a:effectLst/>
              <a:latin typeface="Arial" panose="020B0604020202020204" pitchFamily="34" charset="0"/>
              <a:ea typeface="Calibri"/>
              <a:cs typeface="Arial" panose="020B0604020202020204" pitchFamily="34" charset="0"/>
            </a:rPr>
            <a:t> </a:t>
          </a:r>
        </a:p>
        <a:p>
          <a:pPr marL="2057400" marR="0" lvl="4" indent="-228600" defTabSz="914400" eaLnBrk="1" fontAlgn="auto" latinLnBrk="0" hangingPunct="1">
            <a:lnSpc>
              <a:spcPct val="115000"/>
            </a:lnSpc>
            <a:spcBef>
              <a:spcPts val="0"/>
            </a:spcBef>
            <a:spcAft>
              <a:spcPts val="0"/>
            </a:spcAft>
            <a:buClrTx/>
            <a:buSzTx/>
            <a:buFont typeface="+mj-lt"/>
            <a:buAutoNum type="arabicPeriod"/>
            <a:tabLst/>
            <a:defRPr/>
          </a:pPr>
          <a:r>
            <a:rPr lang="en-CA" sz="1100" b="0" u="sng" baseline="0">
              <a:solidFill>
                <a:sysClr val="windowText" lastClr="000000"/>
              </a:solidFill>
              <a:effectLst/>
              <a:latin typeface="Arial" panose="020B0604020202020204" pitchFamily="34" charset="0"/>
              <a:ea typeface="Calibri"/>
              <a:cs typeface="Arial" panose="020B0604020202020204" pitchFamily="34" charset="0"/>
            </a:rPr>
            <a:t>Approximate % of Glazing Retrofitted</a:t>
          </a:r>
          <a:r>
            <a:rPr lang="en-CA" sz="1100" b="0" u="none" baseline="0">
              <a:solidFill>
                <a:sysClr val="windowText" lastClr="000000"/>
              </a:solidFill>
              <a:effectLst/>
              <a:latin typeface="Arial" panose="020B0604020202020204" pitchFamily="34" charset="0"/>
              <a:ea typeface="Calibri"/>
              <a:cs typeface="Arial" panose="020B0604020202020204" pitchFamily="34" charset="0"/>
            </a:rPr>
            <a:t> - estimated percentage of the total glazing that will be retrofitted. </a:t>
          </a:r>
          <a:r>
            <a:rPr lang="en-CA" sz="1100" b="0" baseline="0">
              <a:effectLst/>
              <a:latin typeface="Arial" panose="020B0604020202020204" pitchFamily="34" charset="0"/>
              <a:ea typeface="+mn-ea"/>
              <a:cs typeface="Arial" panose="020B0604020202020204" pitchFamily="34" charset="0"/>
            </a:rPr>
            <a:t>For example, building has 4,000 sqft of total glazing and </a:t>
          </a:r>
          <a:r>
            <a:rPr lang="en-CA" sz="1100" b="0" u="none" baseline="0">
              <a:effectLst/>
              <a:latin typeface="Arial" panose="020B0604020202020204" pitchFamily="34" charset="0"/>
              <a:ea typeface="+mn-ea"/>
              <a:cs typeface="Arial" panose="020B0604020202020204" pitchFamily="34" charset="0"/>
            </a:rPr>
            <a:t>Total Area of Windows Installed is 2,000 sqft</a:t>
          </a:r>
          <a:r>
            <a:rPr lang="en-CA" sz="1100" b="0" baseline="0">
              <a:effectLst/>
              <a:latin typeface="Arial" panose="020B0604020202020204" pitchFamily="34" charset="0"/>
              <a:ea typeface="+mn-ea"/>
              <a:cs typeface="Arial" panose="020B0604020202020204" pitchFamily="34" charset="0"/>
            </a:rPr>
            <a:t>, enter 5</a:t>
          </a:r>
          <a:r>
            <a:rPr lang="en-CA" sz="1100" b="0" u="none" baseline="0">
              <a:effectLst/>
              <a:latin typeface="Arial" panose="020B0604020202020204" pitchFamily="34" charset="0"/>
              <a:ea typeface="+mn-ea"/>
              <a:cs typeface="Arial" panose="020B0604020202020204" pitchFamily="34" charset="0"/>
            </a:rPr>
            <a:t>0.</a:t>
          </a:r>
          <a:r>
            <a:rPr lang="en-CA" sz="1100" b="0" u="sng" baseline="0">
              <a:effectLst/>
              <a:latin typeface="Arial" panose="020B0604020202020204" pitchFamily="34" charset="0"/>
              <a:ea typeface="+mn-ea"/>
              <a:cs typeface="Arial" panose="020B0604020202020204" pitchFamily="34" charset="0"/>
            </a:rPr>
            <a:t> </a:t>
          </a:r>
          <a:endParaRPr lang="en-CA" sz="1100" b="0" u="sng" baseline="0">
            <a:solidFill>
              <a:sysClr val="windowText" lastClr="000000"/>
            </a:solidFill>
            <a:effectLst/>
            <a:latin typeface="Arial" panose="020B0604020202020204" pitchFamily="34" charset="0"/>
            <a:ea typeface="Calibri"/>
            <a:cs typeface="Arial" panose="020B0604020202020204" pitchFamily="34" charset="0"/>
          </a:endParaRPr>
        </a:p>
        <a:p>
          <a:pPr marL="2057400" marR="0" lvl="4" indent="-228600" defTabSz="914400" eaLnBrk="1" fontAlgn="auto" latinLnBrk="0" hangingPunct="1">
            <a:lnSpc>
              <a:spcPct val="115000"/>
            </a:lnSpc>
            <a:spcBef>
              <a:spcPts val="0"/>
            </a:spcBef>
            <a:spcAft>
              <a:spcPts val="0"/>
            </a:spcAft>
            <a:buClrTx/>
            <a:buSzTx/>
            <a:buFont typeface="+mj-lt"/>
            <a:buAutoNum type="arabicPeriod"/>
            <a:tabLst/>
            <a:defRPr/>
          </a:pPr>
          <a:r>
            <a:rPr lang="en-CA" sz="1100" b="0" u="sng" baseline="0">
              <a:solidFill>
                <a:sysClr val="windowText" lastClr="000000"/>
              </a:solidFill>
              <a:effectLst/>
              <a:latin typeface="Arial" panose="020B0604020202020204" pitchFamily="34" charset="0"/>
              <a:ea typeface="Calibri"/>
              <a:cs typeface="Arial" panose="020B0604020202020204" pitchFamily="34" charset="0"/>
            </a:rPr>
            <a:t># of Rough Openings</a:t>
          </a:r>
          <a:r>
            <a:rPr lang="en-CA" sz="1100" b="0" u="none" baseline="0">
              <a:solidFill>
                <a:sysClr val="windowText" lastClr="000000"/>
              </a:solidFill>
              <a:effectLst/>
              <a:latin typeface="Arial" panose="020B0604020202020204" pitchFamily="34" charset="0"/>
              <a:ea typeface="Calibri"/>
              <a:cs typeface="Arial" panose="020B0604020202020204" pitchFamily="34" charset="0"/>
            </a:rPr>
            <a:t> - the number of windows and/or doors eligible for rebates is based on the number of Rough Openings (RO) in which the windows or doors were replaced. Each RO is counted as one window and/or door. A bay window, which may be made up of several window sections, is regarded as one RO. Each bay window will qualify for one rebate.</a:t>
          </a:r>
          <a:endParaRPr lang="en-CA" sz="1100" b="0" u="sng" baseline="0">
            <a:solidFill>
              <a:sysClr val="windowText" lastClr="000000"/>
            </a:solidFill>
            <a:effectLst/>
            <a:latin typeface="Arial" panose="020B0604020202020204" pitchFamily="34" charset="0"/>
            <a:ea typeface="Calibri"/>
            <a:cs typeface="Arial" panose="020B0604020202020204" pitchFamily="34" charset="0"/>
          </a:endParaRPr>
        </a:p>
        <a:p>
          <a:pPr marL="2057400" marR="0" lvl="4" indent="-228600" defTabSz="914400" eaLnBrk="1" fontAlgn="auto" latinLnBrk="0" hangingPunct="1">
            <a:lnSpc>
              <a:spcPct val="115000"/>
            </a:lnSpc>
            <a:spcBef>
              <a:spcPts val="0"/>
            </a:spcBef>
            <a:spcAft>
              <a:spcPts val="0"/>
            </a:spcAft>
            <a:buClrTx/>
            <a:buSzTx/>
            <a:buFont typeface="+mj-lt"/>
            <a:buAutoNum type="arabicPeriod"/>
            <a:tabLst/>
            <a:defRPr/>
          </a:pPr>
          <a:r>
            <a:rPr lang="en-CA" sz="1100" b="0" u="sng" baseline="0">
              <a:solidFill>
                <a:sysClr val="windowText" lastClr="000000"/>
              </a:solidFill>
              <a:effectLst/>
              <a:latin typeface="Arial" panose="020B0604020202020204" pitchFamily="34" charset="0"/>
              <a:ea typeface="Calibri"/>
              <a:cs typeface="Arial" panose="020B0604020202020204" pitchFamily="34" charset="0"/>
            </a:rPr>
            <a:t>Total Area of Glazing Installed (ft2)</a:t>
          </a:r>
          <a:r>
            <a:rPr lang="en-CA" sz="1100" b="0" u="none" baseline="0">
              <a:solidFill>
                <a:sysClr val="windowText" lastClr="000000"/>
              </a:solidFill>
              <a:effectLst/>
              <a:latin typeface="Arial" panose="020B0604020202020204" pitchFamily="34" charset="0"/>
              <a:ea typeface="Calibri"/>
              <a:cs typeface="Arial" panose="020B0604020202020204" pitchFamily="34" charset="0"/>
            </a:rPr>
            <a:t> - total area of windows that will be installed, area includes window frame.</a:t>
          </a:r>
          <a:endParaRPr lang="en-CA" sz="1100" b="0" u="sng" baseline="0">
            <a:solidFill>
              <a:sysClr val="windowText" lastClr="000000"/>
            </a:solidFill>
            <a:effectLst/>
            <a:latin typeface="Arial" panose="020B0604020202020204" pitchFamily="34" charset="0"/>
            <a:ea typeface="Calibri"/>
            <a:cs typeface="Arial" panose="020B0604020202020204" pitchFamily="34" charset="0"/>
          </a:endParaRPr>
        </a:p>
        <a:p>
          <a:pPr marL="2057400" marR="0" lvl="4" indent="-228600" defTabSz="914400" eaLnBrk="1" fontAlgn="auto" latinLnBrk="0" hangingPunct="1">
            <a:lnSpc>
              <a:spcPct val="115000"/>
            </a:lnSpc>
            <a:spcBef>
              <a:spcPts val="0"/>
            </a:spcBef>
            <a:spcAft>
              <a:spcPts val="0"/>
            </a:spcAft>
            <a:buClrTx/>
            <a:buSzTx/>
            <a:buFont typeface="+mj-lt"/>
            <a:buAutoNum type="arabicPeriod"/>
            <a:tabLst/>
            <a:defRPr/>
          </a:pPr>
          <a:r>
            <a:rPr lang="en-CA" sz="1100" b="0" u="sng" baseline="0">
              <a:solidFill>
                <a:sysClr val="windowText" lastClr="000000"/>
              </a:solidFill>
              <a:effectLst/>
              <a:latin typeface="Arial" panose="020B0604020202020204" pitchFamily="34" charset="0"/>
              <a:ea typeface="Calibri"/>
              <a:cs typeface="Arial" panose="020B0604020202020204" pitchFamily="34" charset="0"/>
            </a:rPr>
            <a:t>Total Capital Cost ($)</a:t>
          </a:r>
          <a:r>
            <a:rPr lang="en-CA" sz="1100" b="0" u="sng" baseline="0">
              <a:effectLst/>
              <a:latin typeface="Arial" panose="020B0604020202020204" pitchFamily="34" charset="0"/>
              <a:ea typeface="+mn-ea"/>
              <a:cs typeface="Arial" panose="020B0604020202020204" pitchFamily="34" charset="0"/>
            </a:rPr>
            <a:t> </a:t>
          </a:r>
          <a:r>
            <a:rPr lang="en-CA" sz="1100" b="0" baseline="0">
              <a:effectLst/>
              <a:latin typeface="Arial" panose="020B0604020202020204" pitchFamily="34" charset="0"/>
              <a:ea typeface="+mn-ea"/>
              <a:cs typeface="Arial" panose="020B0604020202020204" pitchFamily="34" charset="0"/>
            </a:rPr>
            <a:t>- Cost of the total project</a:t>
          </a:r>
          <a:r>
            <a:rPr lang="en-CA" sz="1100" baseline="0">
              <a:effectLst/>
              <a:latin typeface="Arial" panose="020B0604020202020204" pitchFamily="34" charset="0"/>
              <a:ea typeface="+mn-ea"/>
              <a:cs typeface="Arial" panose="020B0604020202020204" pitchFamily="34" charset="0"/>
            </a:rPr>
            <a:t>, expected accuracy is +/-30%.</a:t>
          </a:r>
        </a:p>
        <a:p>
          <a:pPr marL="1600200" marR="0" lvl="3" indent="-228600" defTabSz="914400" eaLnBrk="1" fontAlgn="auto" latinLnBrk="0" hangingPunct="1">
            <a:lnSpc>
              <a:spcPct val="115000"/>
            </a:lnSpc>
            <a:spcBef>
              <a:spcPts val="0"/>
            </a:spcBef>
            <a:spcAft>
              <a:spcPts val="0"/>
            </a:spcAft>
            <a:buClrTx/>
            <a:buSzTx/>
            <a:buFont typeface="+mj-lt"/>
            <a:buAutoNum type="arabicPeriod"/>
            <a:tabLst/>
            <a:defRPr/>
          </a:pPr>
          <a:r>
            <a:rPr lang="en-CA" sz="1100">
              <a:solidFill>
                <a:srgbClr val="FF0000"/>
              </a:solidFill>
              <a:effectLst/>
              <a:latin typeface="Arial" panose="020B0604020202020204" pitchFamily="34" charset="0"/>
              <a:ea typeface="+mn-ea"/>
              <a:cs typeface="Arial" panose="020B0604020202020204" pitchFamily="34" charset="0"/>
            </a:rPr>
            <a:t>A "Electrical Service</a:t>
          </a:r>
          <a:r>
            <a:rPr lang="en-CA" sz="1100" baseline="0">
              <a:solidFill>
                <a:srgbClr val="FF0000"/>
              </a:solidFill>
              <a:effectLst/>
              <a:latin typeface="Arial" panose="020B0604020202020204" pitchFamily="34" charset="0"/>
              <a:ea typeface="+mn-ea"/>
              <a:cs typeface="Arial" panose="020B0604020202020204" pitchFamily="34" charset="0"/>
            </a:rPr>
            <a:t> Upgrade Cost</a:t>
          </a:r>
          <a:r>
            <a:rPr lang="en-CA" sz="1100">
              <a:solidFill>
                <a:srgbClr val="FF0000"/>
              </a:solidFill>
              <a:effectLst/>
              <a:latin typeface="Arial" panose="020B0604020202020204" pitchFamily="34" charset="0"/>
              <a:ea typeface="+mn-ea"/>
              <a:cs typeface="Arial" panose="020B0604020202020204" pitchFamily="34" charset="0"/>
            </a:rPr>
            <a:t>"</a:t>
          </a:r>
          <a:r>
            <a:rPr lang="en-CA" sz="1100" baseline="0">
              <a:solidFill>
                <a:srgbClr val="FF0000"/>
              </a:solidFill>
              <a:effectLst/>
              <a:latin typeface="Arial" panose="020B0604020202020204" pitchFamily="34" charset="0"/>
              <a:ea typeface="+mn-ea"/>
              <a:cs typeface="Arial" panose="020B0604020202020204" pitchFamily="34" charset="0"/>
            </a:rPr>
            <a:t> must be entered in Row 2. This is the cost associated with upgrading the electrical service to support the proposed LCE measures. The Capital Cost ($) for each measure should not include costs for electrical service upgrade.</a:t>
          </a:r>
          <a:endParaRPr lang="en-CA" sz="1100" b="0" u="sng" baseline="0">
            <a:solidFill>
              <a:srgbClr val="FF0000"/>
            </a:solidFill>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Baseline Systems</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Baseline energy</a:t>
          </a:r>
          <a:r>
            <a:rPr lang="en-CA" sz="1100" b="1" baseline="0">
              <a:effectLst/>
              <a:latin typeface="Arial" panose="020B0604020202020204" pitchFamily="34" charset="0"/>
              <a:ea typeface="Calibri"/>
              <a:cs typeface="Arial" panose="020B0604020202020204" pitchFamily="34" charset="0"/>
            </a:rPr>
            <a:t> source </a:t>
          </a:r>
          <a:r>
            <a:rPr lang="en-CA" sz="1100">
              <a:effectLst/>
              <a:latin typeface="Arial" panose="020B0604020202020204" pitchFamily="34" charset="0"/>
              <a:ea typeface="Calibri"/>
              <a:cs typeface="Arial" panose="020B0604020202020204" pitchFamily="34" charset="0"/>
            </a:rPr>
            <a:t>– select either electricity or natural gas for the</a:t>
          </a:r>
          <a:r>
            <a:rPr lang="en-CA" sz="1100" baseline="0">
              <a:effectLst/>
              <a:latin typeface="Arial" panose="020B0604020202020204" pitchFamily="34" charset="0"/>
              <a:ea typeface="Calibri"/>
              <a:cs typeface="Arial" panose="020B0604020202020204" pitchFamily="34" charset="0"/>
            </a:rPr>
            <a:t> energy source of the equipment to be upgraded or replaced. When populating an Envelope measure, this field represents whether the building is heated by electricity or natural gas.</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End-use</a:t>
          </a:r>
          <a:r>
            <a:rPr lang="en-CA" sz="1100">
              <a:effectLst/>
              <a:latin typeface="Arial" panose="020B0604020202020204" pitchFamily="34" charset="0"/>
              <a:ea typeface="Calibri"/>
              <a:cs typeface="Arial" panose="020B0604020202020204" pitchFamily="34" charset="0"/>
            </a:rPr>
            <a:t> - choose an</a:t>
          </a:r>
          <a:r>
            <a:rPr lang="en-CA" sz="1100" baseline="0">
              <a:effectLst/>
              <a:latin typeface="Arial" panose="020B0604020202020204" pitchFamily="34" charset="0"/>
              <a:ea typeface="Calibri"/>
              <a:cs typeface="Arial" panose="020B0604020202020204" pitchFamily="34" charset="0"/>
            </a:rPr>
            <a:t> end-use based on the above description.</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Energy Measure Selection</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Measure Type – </a:t>
          </a:r>
          <a:r>
            <a:rPr lang="en-CA" sz="1100">
              <a:effectLst/>
              <a:latin typeface="Arial" panose="020B0604020202020204" pitchFamily="34" charset="0"/>
              <a:ea typeface="Calibri"/>
              <a:cs typeface="Arial" panose="020B0604020202020204" pitchFamily="34" charset="0"/>
            </a:rPr>
            <a:t>auto populates</a:t>
          </a:r>
          <a:r>
            <a:rPr lang="en-CA" sz="1100" baseline="0">
              <a:effectLst/>
              <a:latin typeface="Arial" panose="020B0604020202020204" pitchFamily="34" charset="0"/>
              <a:ea typeface="Calibri"/>
              <a:cs typeface="Arial" panose="020B0604020202020204" pitchFamily="34" charset="0"/>
            </a:rPr>
            <a:t> as either EE or LCE depending on the baseline energy source.</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Energy</a:t>
          </a:r>
          <a:r>
            <a:rPr lang="en-CA" sz="1100" b="1" baseline="0">
              <a:effectLst/>
              <a:latin typeface="Arial" panose="020B0604020202020204" pitchFamily="34" charset="0"/>
              <a:ea typeface="Calibri"/>
              <a:cs typeface="Arial" panose="020B0604020202020204" pitchFamily="34" charset="0"/>
            </a:rPr>
            <a:t> Measure</a:t>
          </a:r>
          <a:r>
            <a:rPr lang="en-CA" sz="1100" b="1">
              <a:effectLst/>
              <a:latin typeface="Arial" panose="020B0604020202020204" pitchFamily="34" charset="0"/>
              <a:ea typeface="Calibri"/>
              <a:cs typeface="Arial" panose="020B0604020202020204" pitchFamily="34" charset="0"/>
            </a:rPr>
            <a:t> – </a:t>
          </a:r>
          <a:r>
            <a:rPr lang="en-CA" sz="1100">
              <a:effectLst/>
              <a:latin typeface="Arial" panose="020B0604020202020204" pitchFamily="34" charset="0"/>
              <a:ea typeface="Calibri"/>
              <a:cs typeface="Arial" panose="020B0604020202020204" pitchFamily="34" charset="0"/>
            </a:rPr>
            <a:t>select the measure proposed</a:t>
          </a:r>
          <a:r>
            <a:rPr lang="en-CA" sz="1100" baseline="0">
              <a:effectLst/>
              <a:latin typeface="Arial" panose="020B0604020202020204" pitchFamily="34" charset="0"/>
              <a:ea typeface="Calibri"/>
              <a:cs typeface="Arial" panose="020B0604020202020204" pitchFamily="34" charset="0"/>
            </a:rPr>
            <a:t> for implementation. </a:t>
          </a:r>
        </a:p>
        <a:p>
          <a:pPr marL="1200150" marR="0" lvl="2" indent="-285750">
            <a:lnSpc>
              <a:spcPct val="115000"/>
            </a:lnSpc>
            <a:spcBef>
              <a:spcPts val="0"/>
            </a:spcBef>
            <a:spcAft>
              <a:spcPts val="0"/>
            </a:spcAft>
            <a:buFont typeface="+mj-lt"/>
            <a:buAutoNum type="romanLcPeriod"/>
          </a:pPr>
          <a:r>
            <a:rPr lang="en-CA" sz="1100" b="1" baseline="0">
              <a:effectLst/>
              <a:latin typeface="Arial" panose="020B0604020202020204" pitchFamily="34" charset="0"/>
              <a:ea typeface="Calibri"/>
              <a:cs typeface="Arial" panose="020B0604020202020204" pitchFamily="34" charset="0"/>
            </a:rPr>
            <a:t>Rebate Unit </a:t>
          </a:r>
          <a:r>
            <a:rPr lang="en-CA" sz="1100" baseline="0">
              <a:effectLst/>
              <a:latin typeface="Arial" panose="020B0604020202020204" pitchFamily="34" charset="0"/>
              <a:ea typeface="Calibri"/>
              <a:cs typeface="Arial" panose="020B0604020202020204" pitchFamily="34" charset="0"/>
            </a:rPr>
            <a:t>- the metric in which rebate amounts will be determined.</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Baseline and Retrofit Variables Selection</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a:effectLst/>
              <a:latin typeface="Arial" panose="020B0604020202020204" pitchFamily="34" charset="0"/>
              <a:ea typeface="Calibri"/>
              <a:cs typeface="Arial" panose="020B0604020202020204" pitchFamily="34" charset="0"/>
            </a:rPr>
            <a:t>Depending on the Baseline</a:t>
          </a:r>
          <a:r>
            <a:rPr lang="en-CA" sz="1100" baseline="0">
              <a:effectLst/>
              <a:latin typeface="Arial" panose="020B0604020202020204" pitchFamily="34" charset="0"/>
              <a:ea typeface="Calibri"/>
              <a:cs typeface="Arial" panose="020B0604020202020204" pitchFamily="34" charset="0"/>
            </a:rPr>
            <a:t> Source Energy, End-use and Energy Measure </a:t>
          </a:r>
          <a:r>
            <a:rPr lang="en-CA" sz="1100">
              <a:effectLst/>
              <a:latin typeface="Arial" panose="020B0604020202020204" pitchFamily="34" charset="0"/>
              <a:ea typeface="Calibri"/>
              <a:cs typeface="Arial" panose="020B0604020202020204" pitchFamily="34" charset="0"/>
            </a:rPr>
            <a:t>selected different variables are required to quantify the energy impacts.  Each variable is defined by a descriptive unit in a coloured cell and a blank white background cell for the user-entered values.</a:t>
          </a:r>
        </a:p>
        <a:p>
          <a:pPr marL="1657350" marR="0" lvl="3"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“Baseline Variables 1 through 5” - </a:t>
          </a:r>
          <a:r>
            <a:rPr lang="en-CA" sz="1100" b="0">
              <a:effectLst/>
              <a:latin typeface="Arial" panose="020B0604020202020204" pitchFamily="34" charset="0"/>
              <a:ea typeface="Calibri"/>
              <a:cs typeface="Arial" panose="020B0604020202020204" pitchFamily="34" charset="0"/>
            </a:rPr>
            <a:t>input</a:t>
          </a:r>
          <a:r>
            <a:rPr lang="en-CA" sz="1100" b="0" baseline="0">
              <a:effectLst/>
              <a:latin typeface="Arial" panose="020B0604020202020204" pitchFamily="34" charset="0"/>
              <a:ea typeface="Calibri"/>
              <a:cs typeface="Arial" panose="020B0604020202020204" pitchFamily="34" charset="0"/>
            </a:rPr>
            <a:t> values relating to the existing system(s) to be upgraded or replaced.</a:t>
          </a:r>
          <a:endParaRPr lang="en-CA" sz="1100">
            <a:effectLst/>
            <a:latin typeface="Arial" panose="020B0604020202020204" pitchFamily="34" charset="0"/>
            <a:ea typeface="Calibri"/>
            <a:cs typeface="Arial" panose="020B0604020202020204" pitchFamily="34" charset="0"/>
          </a:endParaRPr>
        </a:p>
        <a:p>
          <a:pPr marL="1657350" marR="0" lvl="3" indent="-285750">
            <a:lnSpc>
              <a:spcPct val="115000"/>
            </a:lnSpc>
            <a:spcBef>
              <a:spcPts val="0"/>
            </a:spcBef>
            <a:spcAft>
              <a:spcPts val="1000"/>
            </a:spcAft>
            <a:buFont typeface="+mj-lt"/>
            <a:buAutoNum type="romanLcPeriod"/>
          </a:pPr>
          <a:r>
            <a:rPr lang="en-CA" sz="1100" b="1">
              <a:effectLst/>
              <a:latin typeface="Arial" panose="020B0604020202020204" pitchFamily="34" charset="0"/>
              <a:ea typeface="Calibri"/>
              <a:cs typeface="Arial" panose="020B0604020202020204" pitchFamily="34" charset="0"/>
            </a:rPr>
            <a:t>“Retrofit Variable 1 through 5” - </a:t>
          </a:r>
          <a:r>
            <a:rPr lang="en-CA" sz="1100" b="0">
              <a:effectLst/>
              <a:latin typeface="Arial" panose="020B0604020202020204" pitchFamily="34" charset="0"/>
              <a:ea typeface="Calibri"/>
              <a:cs typeface="Arial" panose="020B0604020202020204" pitchFamily="34" charset="0"/>
            </a:rPr>
            <a:t>input values relating to the new equipment/system(s)</a:t>
          </a:r>
          <a:r>
            <a:rPr lang="en-CA" sz="1100" b="0" baseline="0">
              <a:effectLst/>
              <a:latin typeface="Arial" panose="020B0604020202020204" pitchFamily="34" charset="0"/>
              <a:ea typeface="Calibri"/>
              <a:cs typeface="Arial" panose="020B0604020202020204" pitchFamily="34" charset="0"/>
            </a:rPr>
            <a:t>.</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b="1" u="sng">
              <a:effectLst/>
              <a:latin typeface="Arial" panose="020B0604020202020204" pitchFamily="34" charset="0"/>
              <a:ea typeface="Calibri"/>
              <a:cs typeface="Arial" panose="020B0604020202020204" pitchFamily="34" charset="0"/>
            </a:rPr>
            <a:t>Mechanical Project Totals</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Total rebate</a:t>
          </a:r>
          <a:r>
            <a:rPr lang="en-CA" sz="1100">
              <a:effectLst/>
              <a:latin typeface="Arial" panose="020B0604020202020204" pitchFamily="34" charset="0"/>
              <a:ea typeface="Calibri"/>
              <a:cs typeface="Arial" panose="020B0604020202020204" pitchFamily="34" charset="0"/>
            </a:rPr>
            <a:t> – total rebate for retrofit</a:t>
          </a: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Electrical savings</a:t>
          </a:r>
          <a:r>
            <a:rPr lang="en-CA" sz="1100">
              <a:effectLst/>
              <a:latin typeface="Arial" panose="020B0604020202020204" pitchFamily="34" charset="0"/>
              <a:ea typeface="Calibri"/>
              <a:cs typeface="Arial" panose="020B0604020202020204" pitchFamily="34" charset="0"/>
            </a:rPr>
            <a:t> – estimated electrical savings</a:t>
          </a: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Peak demand savings – </a:t>
          </a:r>
          <a:r>
            <a:rPr lang="en-CA" sz="1100">
              <a:effectLst/>
              <a:latin typeface="Arial" panose="020B0604020202020204" pitchFamily="34" charset="0"/>
              <a:ea typeface="Calibri"/>
              <a:cs typeface="Arial" panose="020B0604020202020204" pitchFamily="34" charset="0"/>
            </a:rPr>
            <a:t>estimated demand savings</a:t>
          </a: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Nat. Gas savings</a:t>
          </a:r>
          <a:r>
            <a:rPr lang="en-CA" sz="1100" b="1"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 estimated gas savings</a:t>
          </a: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Energy cost savings</a:t>
          </a:r>
          <a:r>
            <a:rPr lang="en-CA" sz="1100">
              <a:effectLst/>
              <a:latin typeface="Arial" panose="020B0604020202020204" pitchFamily="34" charset="0"/>
              <a:ea typeface="Calibri"/>
              <a:cs typeface="Arial" panose="020B0604020202020204" pitchFamily="34" charset="0"/>
            </a:rPr>
            <a:t> – rough estimate of energy cost savings for payback estimate</a:t>
          </a: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GHG reduction</a:t>
          </a:r>
          <a:r>
            <a:rPr lang="en-CA" sz="1100" b="1" baseline="0">
              <a:effectLst/>
              <a:latin typeface="Arial" panose="020B0604020202020204" pitchFamily="34" charset="0"/>
              <a:ea typeface="Calibri"/>
              <a:cs typeface="Arial" panose="020B0604020202020204" pitchFamily="34" charset="0"/>
            </a:rPr>
            <a:t> </a:t>
          </a:r>
          <a:r>
            <a:rPr lang="en-CA" sz="1100" baseline="0">
              <a:effectLst/>
              <a:latin typeface="Arial" panose="020B0604020202020204" pitchFamily="34" charset="0"/>
              <a:ea typeface="Calibri"/>
              <a:cs typeface="Arial" panose="020B0604020202020204" pitchFamily="34" charset="0"/>
            </a:rPr>
            <a:t>- greenhouse gas reduction per year</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Capital cost</a:t>
          </a:r>
          <a:r>
            <a:rPr lang="en-CA" sz="1100">
              <a:effectLst/>
              <a:latin typeface="Arial" panose="020B0604020202020204" pitchFamily="34" charset="0"/>
              <a:ea typeface="Calibri"/>
              <a:cs typeface="Arial" panose="020B0604020202020204" pitchFamily="34" charset="0"/>
            </a:rPr>
            <a:t> – measure</a:t>
          </a:r>
          <a:r>
            <a:rPr lang="en-CA" sz="1100" baseline="0">
              <a:effectLst/>
              <a:latin typeface="Arial" panose="020B0604020202020204" pitchFamily="34" charset="0"/>
              <a:ea typeface="Calibri"/>
              <a:cs typeface="Arial" panose="020B0604020202020204" pitchFamily="34" charset="0"/>
            </a:rPr>
            <a:t> capital cost</a:t>
          </a:r>
          <a:endParaRPr lang="en-CA" sz="1100">
            <a:effectLst/>
            <a:latin typeface="Arial" panose="020B0604020202020204" pitchFamily="34" charset="0"/>
            <a:ea typeface="Calibri"/>
            <a:cs typeface="Arial" panose="020B0604020202020204" pitchFamily="34" charset="0"/>
          </a:endParaRPr>
        </a:p>
        <a:p>
          <a:pPr marL="1200150" marR="0" lvl="2" indent="-28575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Simple payback estimate</a:t>
          </a:r>
          <a:r>
            <a:rPr lang="en-CA" sz="1100">
              <a:effectLst/>
              <a:latin typeface="Arial" panose="020B0604020202020204" pitchFamily="34" charset="0"/>
              <a:ea typeface="Calibri"/>
              <a:cs typeface="Arial" panose="020B0604020202020204" pitchFamily="34" charset="0"/>
            </a:rPr>
            <a:t> – capital costs less rebate divided by  energy cost savings</a:t>
          </a:r>
        </a:p>
        <a:p>
          <a:pPr marL="742950" marR="0" lvl="1" indent="-285750">
            <a:lnSpc>
              <a:spcPct val="115000"/>
            </a:lnSpc>
            <a:spcBef>
              <a:spcPts val="0"/>
            </a:spcBef>
            <a:spcAft>
              <a:spcPts val="0"/>
            </a:spcAft>
            <a:buFont typeface="+mj-lt"/>
            <a:buAutoNum type="alphaLcPeriod"/>
          </a:pPr>
          <a:r>
            <a:rPr lang="en-CA" sz="1100" b="1" u="sng">
              <a:solidFill>
                <a:srgbClr val="FF0000"/>
              </a:solidFill>
              <a:effectLst/>
              <a:latin typeface="Arial" panose="020B0604020202020204" pitchFamily="34" charset="0"/>
              <a:ea typeface="Calibri"/>
              <a:cs typeface="Arial" panose="020B0604020202020204" pitchFamily="34" charset="0"/>
            </a:rPr>
            <a:t>Selected</a:t>
          </a:r>
          <a:r>
            <a:rPr lang="en-CA" sz="1100" b="1" u="sng" baseline="0">
              <a:solidFill>
                <a:srgbClr val="FF0000"/>
              </a:solidFill>
              <a:effectLst/>
              <a:latin typeface="Arial" panose="020B0604020202020204" pitchFamily="34" charset="0"/>
              <a:ea typeface="Calibri"/>
              <a:cs typeface="Arial" panose="020B0604020202020204" pitchFamily="34" charset="0"/>
            </a:rPr>
            <a:t> for Implementation (Column B)</a:t>
          </a:r>
          <a:r>
            <a:rPr lang="en-CA" sz="1100" b="0" u="none" baseline="0">
              <a:solidFill>
                <a:srgbClr val="FF0000"/>
              </a:solidFill>
              <a:effectLst/>
              <a:latin typeface="Arial" panose="020B0604020202020204" pitchFamily="34" charset="0"/>
              <a:ea typeface="Calibri"/>
              <a:cs typeface="Arial" panose="020B0604020202020204" pitchFamily="34" charset="0"/>
            </a:rPr>
            <a:t> - select based on the following criteria (to be updated at each phase). Only measures selected as "Yes" will be included in the "Summary" Tab.</a:t>
          </a:r>
        </a:p>
        <a:p>
          <a:pPr marL="1200150" marR="0" lvl="2" indent="-285750">
            <a:lnSpc>
              <a:spcPct val="115000"/>
            </a:lnSpc>
            <a:spcBef>
              <a:spcPts val="0"/>
            </a:spcBef>
            <a:spcAft>
              <a:spcPts val="0"/>
            </a:spcAft>
            <a:buFont typeface="+mj-lt"/>
            <a:buAutoNum type="romanLcPeriod"/>
          </a:pPr>
          <a:r>
            <a:rPr lang="en-CA" sz="1100" b="0" u="none">
              <a:solidFill>
                <a:srgbClr val="FF0000"/>
              </a:solidFill>
              <a:effectLst/>
              <a:latin typeface="Arial" panose="020B0604020202020204" pitchFamily="34" charset="0"/>
              <a:ea typeface="Calibri"/>
              <a:cs typeface="Arial" panose="020B0604020202020204" pitchFamily="34" charset="0"/>
            </a:rPr>
            <a:t>In the </a:t>
          </a:r>
          <a:r>
            <a:rPr lang="en-CA" sz="1100" b="1" u="none">
              <a:solidFill>
                <a:srgbClr val="FF0000"/>
              </a:solidFill>
              <a:effectLst/>
              <a:latin typeface="Arial" panose="020B0604020202020204" pitchFamily="34" charset="0"/>
              <a:ea typeface="Calibri"/>
              <a:cs typeface="Arial" panose="020B0604020202020204" pitchFamily="34" charset="0"/>
            </a:rPr>
            <a:t>Study</a:t>
          </a:r>
          <a:r>
            <a:rPr lang="en-CA" sz="1100" b="0" u="none">
              <a:solidFill>
                <a:srgbClr val="FF0000"/>
              </a:solidFill>
              <a:effectLst/>
              <a:latin typeface="Arial" panose="020B0604020202020204" pitchFamily="34" charset="0"/>
              <a:ea typeface="Calibri"/>
              <a:cs typeface="Arial" panose="020B0604020202020204" pitchFamily="34" charset="0"/>
            </a:rPr>
            <a:t> phase:</a:t>
          </a:r>
        </a:p>
        <a:p>
          <a:pPr marL="1657350" marR="0" lvl="3" indent="-285750">
            <a:lnSpc>
              <a:spcPct val="115000"/>
            </a:lnSpc>
            <a:spcBef>
              <a:spcPts val="0"/>
            </a:spcBef>
            <a:spcAft>
              <a:spcPts val="0"/>
            </a:spcAft>
            <a:buFont typeface="+mj-lt"/>
            <a:buAutoNum type="romanLcPeriod"/>
          </a:pPr>
          <a:r>
            <a:rPr lang="en-CA" sz="1100" b="0" u="none">
              <a:solidFill>
                <a:srgbClr val="FF0000"/>
              </a:solidFill>
              <a:effectLst/>
              <a:latin typeface="Arial" panose="020B0604020202020204" pitchFamily="34" charset="0"/>
              <a:ea typeface="Calibri"/>
              <a:cs typeface="Arial" panose="020B0604020202020204" pitchFamily="34" charset="0"/>
            </a:rPr>
            <a:t>Select</a:t>
          </a:r>
          <a:r>
            <a:rPr lang="en-CA" sz="1100" b="0" u="none" baseline="0">
              <a:solidFill>
                <a:srgbClr val="FF0000"/>
              </a:solidFill>
              <a:effectLst/>
              <a:latin typeface="Arial" panose="020B0604020202020204" pitchFamily="34" charset="0"/>
              <a:ea typeface="Calibri"/>
              <a:cs typeface="Arial" panose="020B0604020202020204" pitchFamily="34" charset="0"/>
            </a:rPr>
            <a:t> "Yes" for measures recommended for implementation.</a:t>
          </a:r>
        </a:p>
        <a:p>
          <a:pPr marL="1657350" marR="0" lvl="3"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Calibri"/>
              <a:cs typeface="Arial" panose="020B0604020202020204" pitchFamily="34" charset="0"/>
            </a:rPr>
            <a:t>Select "No" for measures that are not recommended or are options (mutually exclusive) to measures recommended for implementation.</a:t>
          </a:r>
        </a:p>
        <a:p>
          <a:pPr marL="1200150" marR="0" lvl="2" indent="-285750">
            <a:lnSpc>
              <a:spcPct val="115000"/>
            </a:lnSpc>
            <a:spcBef>
              <a:spcPts val="0"/>
            </a:spcBef>
            <a:spcAft>
              <a:spcPts val="0"/>
            </a:spcAft>
            <a:buFont typeface="+mj-lt"/>
            <a:buAutoNum type="romanLcPeriod"/>
          </a:pPr>
          <a:r>
            <a:rPr lang="en-CA" sz="1100" b="0" u="none">
              <a:solidFill>
                <a:srgbClr val="FF0000"/>
              </a:solidFill>
              <a:effectLst/>
              <a:latin typeface="Arial" panose="020B0604020202020204" pitchFamily="34" charset="0"/>
              <a:ea typeface="Calibri"/>
              <a:cs typeface="Arial" panose="020B0604020202020204" pitchFamily="34" charset="0"/>
            </a:rPr>
            <a:t>In the </a:t>
          </a:r>
          <a:r>
            <a:rPr lang="en-CA" sz="1100" b="1" u="none">
              <a:solidFill>
                <a:srgbClr val="FF0000"/>
              </a:solidFill>
              <a:effectLst/>
              <a:latin typeface="Arial" panose="020B0604020202020204" pitchFamily="34" charset="0"/>
              <a:ea typeface="Calibri"/>
              <a:cs typeface="Arial" panose="020B0604020202020204" pitchFamily="34" charset="0"/>
            </a:rPr>
            <a:t>Rebate Application </a:t>
          </a:r>
          <a:r>
            <a:rPr lang="en-CA" sz="1100" b="0" u="none">
              <a:solidFill>
                <a:srgbClr val="FF0000"/>
              </a:solidFill>
              <a:effectLst/>
              <a:latin typeface="Arial" panose="020B0604020202020204" pitchFamily="34" charset="0"/>
              <a:ea typeface="Calibri"/>
              <a:cs typeface="Arial" panose="020B0604020202020204" pitchFamily="34" charset="0"/>
            </a:rPr>
            <a:t>phase:</a:t>
          </a:r>
        </a:p>
        <a:p>
          <a:pPr marL="1657350" marR="0" lvl="3" indent="-285750">
            <a:lnSpc>
              <a:spcPct val="115000"/>
            </a:lnSpc>
            <a:spcBef>
              <a:spcPts val="0"/>
            </a:spcBef>
            <a:spcAft>
              <a:spcPts val="0"/>
            </a:spcAft>
            <a:buFont typeface="+mj-lt"/>
            <a:buAutoNum type="romanLcPeriod"/>
          </a:pPr>
          <a:r>
            <a:rPr lang="en-CA" sz="1100" b="0" baseline="0">
              <a:solidFill>
                <a:srgbClr val="FF0000"/>
              </a:solidFill>
              <a:effectLst/>
              <a:latin typeface="Arial" panose="020B0604020202020204" pitchFamily="34" charset="0"/>
              <a:ea typeface="+mn-ea"/>
              <a:cs typeface="Arial" panose="020B0604020202020204" pitchFamily="34" charset="0"/>
            </a:rPr>
            <a:t>Select "Yes" for measures that will be implemented, all other measures should be selected as "No".</a:t>
          </a:r>
        </a:p>
        <a:p>
          <a:pPr marL="1200150" marR="0" lvl="2" indent="-285750">
            <a:lnSpc>
              <a:spcPct val="115000"/>
            </a:lnSpc>
            <a:spcBef>
              <a:spcPts val="0"/>
            </a:spcBef>
            <a:spcAft>
              <a:spcPts val="0"/>
            </a:spcAft>
            <a:buFont typeface="+mj-lt"/>
            <a:buAutoNum type="romanLcPeriod"/>
          </a:pPr>
          <a:r>
            <a:rPr lang="en-CA" sz="1100" b="0" u="none" baseline="0">
              <a:solidFill>
                <a:srgbClr val="FF0000"/>
              </a:solidFill>
              <a:effectLst/>
              <a:latin typeface="Arial" panose="020B0604020202020204" pitchFamily="34" charset="0"/>
              <a:ea typeface="+mn-ea"/>
              <a:cs typeface="Arial" panose="020B0604020202020204" pitchFamily="34" charset="0"/>
            </a:rPr>
            <a:t>In the </a:t>
          </a:r>
          <a:r>
            <a:rPr lang="en-CA" sz="1100" b="1" u="none" baseline="0">
              <a:solidFill>
                <a:srgbClr val="FF0000"/>
              </a:solidFill>
              <a:effectLst/>
              <a:latin typeface="Arial" panose="020B0604020202020204" pitchFamily="34" charset="0"/>
              <a:ea typeface="+mn-ea"/>
              <a:cs typeface="Arial" panose="020B0604020202020204" pitchFamily="34" charset="0"/>
            </a:rPr>
            <a:t>As-built</a:t>
          </a:r>
          <a:r>
            <a:rPr lang="en-CA" sz="1100" b="0" u="none" baseline="0">
              <a:solidFill>
                <a:srgbClr val="FF0000"/>
              </a:solidFill>
              <a:effectLst/>
              <a:latin typeface="Arial" panose="020B0604020202020204" pitchFamily="34" charset="0"/>
              <a:ea typeface="+mn-ea"/>
              <a:cs typeface="Arial" panose="020B0604020202020204" pitchFamily="34" charset="0"/>
            </a:rPr>
            <a:t> phase:</a:t>
          </a:r>
        </a:p>
        <a:p>
          <a:pPr marL="1657350" marR="0" lvl="3" indent="-285750">
            <a:lnSpc>
              <a:spcPct val="115000"/>
            </a:lnSpc>
            <a:spcBef>
              <a:spcPts val="0"/>
            </a:spcBef>
            <a:spcAft>
              <a:spcPts val="0"/>
            </a:spcAft>
            <a:buFont typeface="+mj-lt"/>
            <a:buAutoNum type="romanLcPeriod"/>
          </a:pPr>
          <a:r>
            <a:rPr lang="en-CA" sz="1100" b="0" baseline="0">
              <a:solidFill>
                <a:srgbClr val="FF0000"/>
              </a:solidFill>
              <a:effectLst/>
              <a:latin typeface="Arial" panose="020B0604020202020204" pitchFamily="34" charset="0"/>
              <a:ea typeface="+mn-ea"/>
              <a:cs typeface="Arial" panose="020B0604020202020204" pitchFamily="34" charset="0"/>
            </a:rPr>
            <a:t>Select "Yes" for measures that have been implemented, all other measures should be selected as "No".</a:t>
          </a:r>
          <a:r>
            <a:rPr lang="en-CA" sz="1100" b="0" u="none" baseline="0">
              <a:solidFill>
                <a:srgbClr val="FF0000"/>
              </a:solidFill>
              <a:effectLst/>
              <a:latin typeface="Arial" panose="020B0604020202020204" pitchFamily="34" charset="0"/>
              <a:ea typeface="Calibri"/>
              <a:cs typeface="Arial" panose="020B0604020202020204" pitchFamily="34" charset="0"/>
            </a:rPr>
            <a:t> </a:t>
          </a:r>
          <a:endParaRPr lang="en-CA" sz="1100" b="1" u="sng">
            <a:solidFill>
              <a:srgbClr val="FF0000"/>
            </a:solidFill>
            <a:effectLst/>
            <a:latin typeface="Arial" panose="020B0604020202020204" pitchFamily="34" charset="0"/>
            <a:ea typeface="Calibri"/>
            <a:cs typeface="Arial" panose="020B0604020202020204" pitchFamily="34" charset="0"/>
          </a:endParaRPr>
        </a:p>
        <a:p>
          <a:pPr marL="342900" marR="0" lvl="0" indent="-342900">
            <a:lnSpc>
              <a:spcPct val="115000"/>
            </a:lnSpc>
            <a:spcBef>
              <a:spcPts val="0"/>
            </a:spcBef>
            <a:spcAft>
              <a:spcPts val="0"/>
            </a:spcAft>
            <a:buFont typeface="+mj-lt"/>
            <a:buAutoNum type="arabicPeriod"/>
          </a:pPr>
          <a:r>
            <a:rPr lang="en-CA" sz="1100">
              <a:effectLst/>
              <a:latin typeface="Arial" panose="020B0604020202020204" pitchFamily="34" charset="0"/>
              <a:ea typeface="Calibri"/>
              <a:cs typeface="Arial" panose="020B0604020202020204" pitchFamily="34" charset="0"/>
            </a:rPr>
            <a:t>Return to the </a:t>
          </a:r>
          <a:r>
            <a:rPr lang="en-CA" sz="1100" b="1">
              <a:effectLst/>
              <a:latin typeface="Arial" panose="020B0604020202020204" pitchFamily="34" charset="0"/>
              <a:ea typeface="Calibri"/>
              <a:cs typeface="Arial" panose="020B0604020202020204" pitchFamily="34" charset="0"/>
            </a:rPr>
            <a:t>Summary</a:t>
          </a:r>
          <a:r>
            <a:rPr lang="en-CA" sz="1100">
              <a:effectLst/>
              <a:latin typeface="Arial" panose="020B0604020202020204" pitchFamily="34" charset="0"/>
              <a:ea typeface="Calibri"/>
              <a:cs typeface="Arial" panose="020B0604020202020204" pitchFamily="34" charset="0"/>
            </a:rPr>
            <a:t> Tab and review the results, only measures selected</a:t>
          </a:r>
          <a:r>
            <a:rPr lang="en-CA" sz="1100" baseline="0">
              <a:effectLst/>
              <a:latin typeface="Arial" panose="020B0604020202020204" pitchFamily="34" charset="0"/>
              <a:ea typeface="Calibri"/>
              <a:cs typeface="Arial" panose="020B0604020202020204" pitchFamily="34" charset="0"/>
            </a:rPr>
            <a:t> for implementation are included here.</a:t>
          </a:r>
          <a:r>
            <a:rPr lang="en-CA" sz="1100">
              <a:effectLst/>
              <a:latin typeface="Arial" panose="020B0604020202020204" pitchFamily="34" charset="0"/>
              <a:ea typeface="Calibri"/>
              <a:cs typeface="Arial" panose="020B0604020202020204" pitchFamily="34" charset="0"/>
            </a:rPr>
            <a:t> No entries are required</a:t>
          </a:r>
          <a:r>
            <a:rPr lang="en-CA" sz="1100" baseline="0">
              <a:effectLst/>
              <a:latin typeface="Arial" panose="020B0604020202020204" pitchFamily="34" charset="0"/>
              <a:ea typeface="Calibri"/>
              <a:cs typeface="Arial" panose="020B0604020202020204" pitchFamily="34" charset="0"/>
            </a:rPr>
            <a:t> for this tab.</a:t>
          </a:r>
          <a:endParaRPr lang="en-CA" sz="1100">
            <a:effectLst/>
            <a:latin typeface="Arial" panose="020B0604020202020204" pitchFamily="34" charset="0"/>
            <a:ea typeface="Calibri"/>
            <a:cs typeface="Arial" panose="020B0604020202020204" pitchFamily="34" charset="0"/>
          </a:endParaRPr>
        </a:p>
        <a:p>
          <a:pPr marL="742950" marR="0" lvl="1" indent="-285750">
            <a:lnSpc>
              <a:spcPct val="115000"/>
            </a:lnSpc>
            <a:spcBef>
              <a:spcPts val="0"/>
            </a:spcBef>
            <a:spcAft>
              <a:spcPts val="0"/>
            </a:spcAft>
            <a:buFont typeface="+mj-lt"/>
            <a:buAutoNum type="alphaLcPeriod"/>
          </a:pPr>
          <a:r>
            <a:rPr lang="en-CA" sz="1100">
              <a:effectLst/>
              <a:latin typeface="Arial" panose="020B0604020202020204" pitchFamily="34" charset="0"/>
              <a:ea typeface="Calibri"/>
              <a:cs typeface="Arial" panose="020B0604020202020204" pitchFamily="34" charset="0"/>
            </a:rPr>
            <a:t>Review Estimated</a:t>
          </a:r>
          <a:r>
            <a:rPr lang="en-CA" sz="1100" baseline="0">
              <a:effectLst/>
              <a:latin typeface="Arial" panose="020B0604020202020204" pitchFamily="34" charset="0"/>
              <a:ea typeface="Calibri"/>
              <a:cs typeface="Arial" panose="020B0604020202020204" pitchFamily="34" charset="0"/>
            </a:rPr>
            <a:t> Project Cost and Energy Impacts</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Total Project Costs</a:t>
          </a:r>
          <a:r>
            <a:rPr lang="en-CA" sz="1100">
              <a:effectLst/>
              <a:latin typeface="Arial" panose="020B0604020202020204" pitchFamily="34" charset="0"/>
              <a:ea typeface="Calibri"/>
              <a:cs typeface="Arial" panose="020B0604020202020204" pitchFamily="34" charset="0"/>
            </a:rPr>
            <a:t> – Total capital</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cost of all selected measures.</a:t>
          </a: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Estimated Total Rebate </a:t>
          </a:r>
          <a:r>
            <a:rPr lang="en-CA" sz="1100">
              <a:effectLst/>
              <a:latin typeface="Arial" panose="020B0604020202020204" pitchFamily="34" charset="0"/>
              <a:ea typeface="Calibri"/>
              <a:cs typeface="Arial" panose="020B0604020202020204" pitchFamily="34" charset="0"/>
            </a:rPr>
            <a:t>– Value of rebate funding for selected measures.</a:t>
          </a:r>
          <a:r>
            <a:rPr lang="en-CA" sz="1100" baseline="0">
              <a:effectLst/>
              <a:latin typeface="Arial" panose="020B0604020202020204" pitchFamily="34" charset="0"/>
              <a:ea typeface="Calibri"/>
              <a:cs typeface="Arial" panose="020B0604020202020204" pitchFamily="34" charset="0"/>
            </a:rPr>
            <a:t> This value includes rebate caps and may not equal the combined value of individual measure rebates shown.</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Estimated Total Annual Cost Savings</a:t>
          </a:r>
          <a:r>
            <a:rPr lang="en-CA" sz="1100">
              <a:effectLst/>
              <a:latin typeface="Arial" panose="020B0604020202020204" pitchFamily="34" charset="0"/>
              <a:ea typeface="Calibri"/>
              <a:cs typeface="Arial" panose="020B0604020202020204" pitchFamily="34" charset="0"/>
            </a:rPr>
            <a:t> – Estimate of total</a:t>
          </a:r>
          <a:r>
            <a:rPr lang="en-CA" sz="1100" baseline="0">
              <a:effectLst/>
              <a:latin typeface="Arial" panose="020B0604020202020204" pitchFamily="34" charset="0"/>
              <a:ea typeface="Calibri"/>
              <a:cs typeface="Arial" panose="020B0604020202020204" pitchFamily="34" charset="0"/>
            </a:rPr>
            <a:t> cost savings associated with electricity and gas, cost increases are expressed as negative numbers</a:t>
          </a:r>
          <a:endParaRPr lang="en-CA" sz="1100">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Total project demand,</a:t>
          </a:r>
          <a:r>
            <a:rPr lang="en-CA" sz="1100" b="1" baseline="0">
              <a:effectLst/>
              <a:latin typeface="Arial" panose="020B0604020202020204" pitchFamily="34" charset="0"/>
              <a:ea typeface="Calibri"/>
              <a:cs typeface="Arial" panose="020B0604020202020204" pitchFamily="34" charset="0"/>
            </a:rPr>
            <a:t> electrical and gas </a:t>
          </a:r>
          <a:r>
            <a:rPr lang="en-CA" sz="1100" b="1">
              <a:effectLst/>
              <a:latin typeface="Arial" panose="020B0604020202020204" pitchFamily="34" charset="0"/>
              <a:ea typeface="Calibri"/>
              <a:cs typeface="Arial" panose="020B0604020202020204" pitchFamily="34" charset="0"/>
            </a:rPr>
            <a:t>savings</a:t>
          </a:r>
          <a:r>
            <a:rPr lang="en-CA" sz="1100">
              <a:effectLst/>
              <a:latin typeface="Arial" panose="020B0604020202020204" pitchFamily="34" charset="0"/>
              <a:ea typeface="Calibri"/>
              <a:cs typeface="Arial" panose="020B0604020202020204" pitchFamily="34" charset="0"/>
            </a:rPr>
            <a:t> – Estimate of reductions achieved by implementing retrofit projects, usage</a:t>
          </a:r>
          <a:r>
            <a:rPr lang="en-CA" sz="1100" baseline="0">
              <a:effectLst/>
              <a:latin typeface="Arial" panose="020B0604020202020204" pitchFamily="34" charset="0"/>
              <a:ea typeface="Calibri"/>
              <a:cs typeface="Arial" panose="020B0604020202020204" pitchFamily="34" charset="0"/>
            </a:rPr>
            <a:t> </a:t>
          </a:r>
          <a:r>
            <a:rPr lang="en-CA" sz="1100">
              <a:effectLst/>
              <a:latin typeface="Arial" panose="020B0604020202020204" pitchFamily="34" charset="0"/>
              <a:ea typeface="Calibri"/>
              <a:cs typeface="Arial" panose="020B0604020202020204" pitchFamily="34" charset="0"/>
            </a:rPr>
            <a:t>increases are</a:t>
          </a:r>
          <a:r>
            <a:rPr lang="en-CA" sz="1100" baseline="0">
              <a:effectLst/>
              <a:latin typeface="Arial" panose="020B0604020202020204" pitchFamily="34" charset="0"/>
              <a:ea typeface="Calibri"/>
              <a:cs typeface="Arial" panose="020B0604020202020204" pitchFamily="34" charset="0"/>
            </a:rPr>
            <a:t> expressed as negative numbers</a:t>
          </a:r>
          <a:r>
            <a:rPr lang="en-CA" sz="1100">
              <a:effectLst/>
              <a:latin typeface="Arial" panose="020B0604020202020204" pitchFamily="34" charset="0"/>
              <a:ea typeface="Calibri"/>
              <a:cs typeface="Arial" panose="020B0604020202020204" pitchFamily="34" charset="0"/>
            </a:rPr>
            <a:t>.  </a:t>
          </a:r>
          <a:br>
            <a:rPr lang="en-CA" sz="1100">
              <a:effectLst/>
              <a:latin typeface="Arial" panose="020B0604020202020204" pitchFamily="34" charset="0"/>
              <a:ea typeface="Calibri"/>
              <a:cs typeface="Arial" panose="020B0604020202020204" pitchFamily="34" charset="0"/>
            </a:rPr>
          </a:br>
          <a:r>
            <a:rPr lang="en-CA" sz="1100">
              <a:solidFill>
                <a:srgbClr val="FF0000"/>
              </a:solidFill>
              <a:effectLst/>
              <a:latin typeface="Arial" panose="020B0604020202020204" pitchFamily="34" charset="0"/>
              <a:ea typeface="Calibri"/>
              <a:cs typeface="Arial" panose="020B0604020202020204" pitchFamily="34" charset="0"/>
            </a:rPr>
            <a:t>Value is an estimate and may not be reflected in the actual bills. Associated</a:t>
          </a:r>
          <a:r>
            <a:rPr lang="en-CA" sz="1100" baseline="0">
              <a:solidFill>
                <a:srgbClr val="FF0000"/>
              </a:solidFill>
              <a:effectLst/>
              <a:latin typeface="Arial" panose="020B0604020202020204" pitchFamily="34" charset="0"/>
              <a:ea typeface="Calibri"/>
              <a:cs typeface="Arial" panose="020B0604020202020204" pitchFamily="34" charset="0"/>
            </a:rPr>
            <a:t> demand impacts are estimates only and should not be used for assessing electrical service.</a:t>
          </a:r>
          <a:endParaRPr lang="en-CA" sz="1100">
            <a:solidFill>
              <a:srgbClr val="FF0000"/>
            </a:solidFill>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Annual GHG Reduction</a:t>
          </a:r>
          <a:r>
            <a:rPr lang="en-CA" sz="1100">
              <a:effectLst/>
              <a:latin typeface="Arial" panose="020B0604020202020204" pitchFamily="34" charset="0"/>
              <a:ea typeface="Calibri"/>
              <a:cs typeface="Arial" panose="020B0604020202020204" pitchFamily="34" charset="0"/>
            </a:rPr>
            <a:t> –  Estimate of the green-house gas reduction potential per year.</a:t>
          </a: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GHG Reduction over Measure Life -</a:t>
          </a:r>
          <a:r>
            <a:rPr lang="en-CA" sz="1100" b="1" baseline="0">
              <a:effectLst/>
              <a:latin typeface="Arial" panose="020B0604020202020204" pitchFamily="34" charset="0"/>
              <a:ea typeface="Calibri"/>
              <a:cs typeface="Arial" panose="020B0604020202020204" pitchFamily="34" charset="0"/>
            </a:rPr>
            <a:t> </a:t>
          </a:r>
          <a:r>
            <a:rPr lang="en-CA" sz="1100" b="0" baseline="0">
              <a:effectLst/>
              <a:latin typeface="Arial" panose="020B0604020202020204" pitchFamily="34" charset="0"/>
              <a:ea typeface="Calibri"/>
              <a:cs typeface="Arial" panose="020B0604020202020204" pitchFamily="34" charset="0"/>
            </a:rPr>
            <a:t>Estimate of total green-house gas reduction applied over the expected service life of the measure.</a:t>
          </a:r>
          <a:endParaRPr lang="en-CA" sz="1100" b="1">
            <a:effectLst/>
            <a:latin typeface="Arial" panose="020B0604020202020204" pitchFamily="34" charset="0"/>
            <a:ea typeface="Calibri"/>
            <a:cs typeface="Arial" panose="020B0604020202020204" pitchFamily="34" charset="0"/>
          </a:endParaRPr>
        </a:p>
        <a:p>
          <a:pPr marL="1143000" marR="0" lvl="2" indent="-228600">
            <a:lnSpc>
              <a:spcPct val="115000"/>
            </a:lnSpc>
            <a:spcBef>
              <a:spcPts val="0"/>
            </a:spcBef>
            <a:spcAft>
              <a:spcPts val="0"/>
            </a:spcAft>
            <a:buFont typeface="+mj-lt"/>
            <a:buAutoNum type="romanLcPeriod"/>
          </a:pPr>
          <a:r>
            <a:rPr lang="en-CA" sz="1100" b="1">
              <a:effectLst/>
              <a:latin typeface="Arial" panose="020B0604020202020204" pitchFamily="34" charset="0"/>
              <a:ea typeface="Calibri"/>
              <a:cs typeface="Arial" panose="020B0604020202020204" pitchFamily="34" charset="0"/>
            </a:rPr>
            <a:t>Simple Payback</a:t>
          </a:r>
          <a:r>
            <a:rPr lang="en-CA" sz="1100">
              <a:effectLst/>
              <a:latin typeface="Arial" panose="020B0604020202020204" pitchFamily="34" charset="0"/>
              <a:ea typeface="Calibri"/>
              <a:cs typeface="Arial" panose="020B0604020202020204" pitchFamily="34" charset="0"/>
            </a:rPr>
            <a:t> – The ratio between the capital cost less incentive and the annual energy cost savings.</a:t>
          </a:r>
        </a:p>
        <a:p>
          <a:pPr marL="742950" marR="0" lvl="1" indent="-285750">
            <a:lnSpc>
              <a:spcPct val="115000"/>
            </a:lnSpc>
            <a:spcBef>
              <a:spcPts val="0"/>
            </a:spcBef>
            <a:spcAft>
              <a:spcPts val="1000"/>
            </a:spcAft>
            <a:buFont typeface="+mj-lt"/>
            <a:buAutoNum type="alphaLcPeriod"/>
          </a:pPr>
          <a:r>
            <a:rPr lang="en-CA" sz="1100">
              <a:effectLst/>
              <a:latin typeface="Arial" panose="020B0604020202020204" pitchFamily="34" charset="0"/>
              <a:ea typeface="Calibri"/>
              <a:cs typeface="Arial" panose="020B0604020202020204" pitchFamily="34" charset="0"/>
            </a:rPr>
            <a:t>Review the table of project energy and cost impacts</a:t>
          </a:r>
          <a:r>
            <a:rPr lang="en-CA" sz="1100" baseline="0">
              <a:effectLst/>
              <a:latin typeface="Arial" panose="020B0604020202020204" pitchFamily="34" charset="0"/>
              <a:ea typeface="Calibri"/>
              <a:cs typeface="Arial" panose="020B0604020202020204" pitchFamily="34" charset="0"/>
            </a:rPr>
            <a:t> broken down by EE and LCE and End-use.</a:t>
          </a:r>
          <a:endParaRPr lang="en-CA" sz="1100">
            <a:effectLst/>
            <a:latin typeface="Arial" panose="020B0604020202020204" pitchFamily="34" charset="0"/>
            <a:ea typeface="Calibri"/>
            <a:cs typeface="Arial" panose="020B0604020202020204" pitchFamily="34" charset="0"/>
          </a:endParaRPr>
        </a:p>
        <a:p>
          <a:r>
            <a:rPr lang="en-CA" sz="1100" b="1">
              <a:effectLst/>
              <a:latin typeface="Arial" panose="020B0604020202020204" pitchFamily="34" charset="0"/>
              <a:ea typeface="+mn-ea"/>
              <a:cs typeface="Arial" panose="020B0604020202020204" pitchFamily="34" charset="0"/>
            </a:rPr>
            <a:t>Electrical Load Analysis (ELA) </a:t>
          </a:r>
          <a:r>
            <a:rPr lang="en-CA" sz="1100" b="0">
              <a:effectLst/>
              <a:latin typeface="Arial" panose="020B0604020202020204" pitchFamily="34" charset="0"/>
              <a:ea typeface="+mn-ea"/>
              <a:cs typeface="Arial" panose="020B0604020202020204" pitchFamily="34" charset="0"/>
            </a:rPr>
            <a:t>Tab</a:t>
          </a:r>
          <a:r>
            <a:rPr lang="en-CA" sz="1100">
              <a:effectLst/>
              <a:latin typeface="Arial" panose="020B0604020202020204" pitchFamily="34" charset="0"/>
              <a:ea typeface="+mn-ea"/>
              <a:cs typeface="Arial" panose="020B0604020202020204" pitchFamily="34" charset="0"/>
            </a:rPr>
            <a:t> is used to document the</a:t>
          </a:r>
          <a:r>
            <a:rPr lang="en-CA" sz="1100" baseline="0">
              <a:effectLst/>
              <a:latin typeface="Arial" panose="020B0604020202020204" pitchFamily="34" charset="0"/>
              <a:ea typeface="+mn-ea"/>
              <a:cs typeface="Arial" panose="020B0604020202020204" pitchFamily="34" charset="0"/>
            </a:rPr>
            <a:t> results from the electrical load analysis conducted as part of the MURBRP Feasibility Study scope. </a:t>
          </a:r>
          <a:r>
            <a:rPr lang="en-CA" sz="1100" u="sng" baseline="0">
              <a:effectLst/>
              <a:latin typeface="Arial" panose="020B0604020202020204" pitchFamily="34" charset="0"/>
              <a:ea typeface="+mn-ea"/>
              <a:cs typeface="Arial" panose="020B0604020202020204" pitchFamily="34" charset="0"/>
            </a:rPr>
            <a:t>This tab only needs to be completed at the study stage </a:t>
          </a:r>
          <a:r>
            <a:rPr lang="en-CA" sz="1100" baseline="0">
              <a:effectLst/>
              <a:latin typeface="Arial" panose="020B0604020202020204" pitchFamily="34" charset="0"/>
              <a:ea typeface="+mn-ea"/>
              <a:cs typeface="Arial" panose="020B0604020202020204" pitchFamily="34" charset="0"/>
            </a:rPr>
            <a:t>to inform the building's electrical service needs to support electrification. </a:t>
          </a:r>
          <a:r>
            <a:rPr lang="en-CA" sz="1100" u="sng" baseline="0">
              <a:effectLst/>
              <a:latin typeface="Arial" panose="020B0604020202020204" pitchFamily="34" charset="0"/>
              <a:ea typeface="+mn-ea"/>
              <a:cs typeface="Arial" panose="020B0604020202020204" pitchFamily="34" charset="0"/>
            </a:rPr>
            <a:t>ELA is not required if the measures studied are energy efficiency only.</a:t>
          </a:r>
          <a:endParaRPr lang="en-CA">
            <a:effectLst/>
            <a:latin typeface="Arial" panose="020B0604020202020204" pitchFamily="34" charset="0"/>
            <a:cs typeface="Arial" panose="020B0604020202020204" pitchFamily="34" charset="0"/>
          </a:endParaRPr>
        </a:p>
        <a:p>
          <a:pPr marL="228600" indent="-228600">
            <a:buFont typeface="+mj-lt"/>
            <a:buAutoNum type="arabicPeriod"/>
          </a:pPr>
          <a:r>
            <a:rPr lang="en-CA" sz="1100" b="1">
              <a:effectLst/>
              <a:latin typeface="Arial" panose="020B0604020202020204" pitchFamily="34" charset="0"/>
              <a:ea typeface="+mn-ea"/>
              <a:cs typeface="Arial" panose="020B0604020202020204" pitchFamily="34" charset="0"/>
            </a:rPr>
            <a:t>Enter</a:t>
          </a:r>
          <a:r>
            <a:rPr lang="en-CA" sz="1100" b="1" baseline="0">
              <a:effectLst/>
              <a:latin typeface="Arial" panose="020B0604020202020204" pitchFamily="34" charset="0"/>
              <a:ea typeface="+mn-ea"/>
              <a:cs typeface="Arial" panose="020B0604020202020204" pitchFamily="34" charset="0"/>
            </a:rPr>
            <a:t> customer and project details:</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aseline="0">
              <a:effectLst/>
              <a:latin typeface="Arial" panose="020B0604020202020204" pitchFamily="34" charset="0"/>
              <a:ea typeface="+mn-ea"/>
              <a:cs typeface="Arial" panose="020B0604020202020204" pitchFamily="34" charset="0"/>
            </a:rPr>
            <a:t>Confirm version number and date.</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aseline="0">
              <a:effectLst/>
              <a:latin typeface="Arial" panose="020B0604020202020204" pitchFamily="34" charset="0"/>
              <a:ea typeface="+mn-ea"/>
              <a:cs typeface="Arial" panose="020B0604020202020204" pitchFamily="34" charset="0"/>
            </a:rPr>
            <a:t>Enter the customer company and site information.</a:t>
          </a:r>
          <a:endParaRPr lang="en-CA">
            <a:effectLst/>
            <a:latin typeface="Arial" panose="020B0604020202020204" pitchFamily="34" charset="0"/>
            <a:cs typeface="Arial" panose="020B0604020202020204" pitchFamily="34" charset="0"/>
          </a:endParaRPr>
        </a:p>
        <a:p>
          <a:pPr marL="228600" indent="-228600">
            <a:buFont typeface="+mj-lt"/>
            <a:buAutoNum type="arabicPeriod"/>
          </a:pPr>
          <a:r>
            <a:rPr lang="en-CA" sz="1100" b="1" baseline="0">
              <a:effectLst/>
              <a:latin typeface="Arial" panose="020B0604020202020204" pitchFamily="34" charset="0"/>
              <a:ea typeface="+mn-ea"/>
              <a:cs typeface="Arial" panose="020B0604020202020204" pitchFamily="34" charset="0"/>
            </a:rPr>
            <a:t>Enter contractor/consultant details:</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aseline="0">
              <a:effectLst/>
              <a:latin typeface="Arial" panose="020B0604020202020204" pitchFamily="34" charset="0"/>
              <a:ea typeface="+mn-ea"/>
              <a:cs typeface="Arial" panose="020B0604020202020204" pitchFamily="34" charset="0"/>
            </a:rPr>
            <a:t>Enter prime consultant name and contract information (electronic signature for the author of the ELA is required).</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aseline="0">
              <a:effectLst/>
              <a:latin typeface="Arial" panose="020B0604020202020204" pitchFamily="34" charset="0"/>
              <a:ea typeface="+mn-ea"/>
              <a:cs typeface="Arial" panose="020B0604020202020204" pitchFamily="34" charset="0"/>
            </a:rPr>
            <a:t>Enter electrical contractor/ consultant name and contact information.</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a:effectLst/>
              <a:latin typeface="Arial" panose="020B0604020202020204" pitchFamily="34" charset="0"/>
              <a:ea typeface="+mn-ea"/>
              <a:cs typeface="Arial" panose="020B0604020202020204" pitchFamily="34" charset="0"/>
            </a:rPr>
            <a:t>Enter known submission details as per workbook form.</a:t>
          </a:r>
          <a:endParaRPr lang="en-CA">
            <a:effectLst/>
            <a:latin typeface="Arial" panose="020B0604020202020204" pitchFamily="34" charset="0"/>
            <a:cs typeface="Arial" panose="020B0604020202020204" pitchFamily="34" charset="0"/>
          </a:endParaRPr>
        </a:p>
        <a:p>
          <a:pPr marL="228600" indent="-228600">
            <a:buFont typeface="+mj-lt"/>
            <a:buAutoNum type="arabicPeriod"/>
          </a:pPr>
          <a:r>
            <a:rPr lang="en-CA" sz="1100" b="1">
              <a:effectLst/>
              <a:latin typeface="Arial" panose="020B0604020202020204" pitchFamily="34" charset="0"/>
              <a:ea typeface="+mn-ea"/>
              <a:cs typeface="Arial" panose="020B0604020202020204" pitchFamily="34" charset="0"/>
            </a:rPr>
            <a:t>Describe</a:t>
          </a:r>
          <a:r>
            <a:rPr lang="en-CA" sz="1100" b="1" baseline="0">
              <a:effectLst/>
              <a:latin typeface="Arial" panose="020B0604020202020204" pitchFamily="34" charset="0"/>
              <a:ea typeface="+mn-ea"/>
              <a:cs typeface="Arial" panose="020B0604020202020204" pitchFamily="34" charset="0"/>
            </a:rPr>
            <a:t> the existing electrical system:</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aseline="0">
              <a:effectLst/>
              <a:latin typeface="Arial" panose="020B0604020202020204" pitchFamily="34" charset="0"/>
              <a:ea typeface="+mn-ea"/>
              <a:cs typeface="Arial" panose="020B0604020202020204" pitchFamily="34" charset="0"/>
            </a:rPr>
            <a:t>Enter information on the space analyzed and its electrical system.</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aseline="0">
              <a:effectLst/>
              <a:latin typeface="Arial" panose="020B0604020202020204" pitchFamily="34" charset="0"/>
              <a:ea typeface="+mn-ea"/>
              <a:cs typeface="Arial" panose="020B0604020202020204" pitchFamily="34" charset="0"/>
            </a:rPr>
            <a:t>Enter the electrical consumption and corresponding rate including:</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aseline="0">
              <a:effectLst/>
              <a:latin typeface="Arial" panose="020B0604020202020204" pitchFamily="34" charset="0"/>
              <a:ea typeface="+mn-ea"/>
              <a:cs typeface="Arial" panose="020B0604020202020204" pitchFamily="34" charset="0"/>
            </a:rPr>
            <a:t>purchased electricity</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aseline="0">
              <a:effectLst/>
              <a:latin typeface="Arial" panose="020B0604020202020204" pitchFamily="34" charset="0"/>
              <a:ea typeface="+mn-ea"/>
              <a:cs typeface="Arial" panose="020B0604020202020204" pitchFamily="34" charset="0"/>
            </a:rPr>
            <a:t>average annual peak demand</a:t>
          </a:r>
          <a:endParaRPr lang="en-CA">
            <a:effectLst/>
            <a:latin typeface="Arial" panose="020B0604020202020204" pitchFamily="34" charset="0"/>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effectLst/>
              <a:latin typeface="Arial" panose="020B0604020202020204" pitchFamily="34" charset="0"/>
              <a:ea typeface="+mn-ea"/>
              <a:cs typeface="Arial" panose="020B0604020202020204" pitchFamily="34" charset="0"/>
            </a:rPr>
            <a:t>average monthly peak demand</a:t>
          </a:r>
          <a:endParaRPr lang="en-CA" sz="1100">
            <a:effectLst/>
            <a:latin typeface="Arial" panose="020B0604020202020204" pitchFamily="34" charset="0"/>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CA">
              <a:effectLst/>
              <a:latin typeface="Arial" panose="020B0604020202020204" pitchFamily="34" charset="0"/>
              <a:cs typeface="Arial" panose="020B0604020202020204" pitchFamily="34" charset="0"/>
            </a:rPr>
            <a:t>Describe</a:t>
          </a:r>
          <a:r>
            <a:rPr lang="en-CA" baseline="0">
              <a:effectLst/>
              <a:latin typeface="Arial" panose="020B0604020202020204" pitchFamily="34" charset="0"/>
              <a:cs typeface="Arial" panose="020B0604020202020204" pitchFamily="34" charset="0"/>
            </a:rPr>
            <a:t> how annual peak was determined</a:t>
          </a:r>
          <a:endParaRPr lang="en-CA" sz="1100">
            <a:effectLst/>
            <a:latin typeface="Arial" panose="020B0604020202020204" pitchFamily="34" charset="0"/>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CA">
              <a:effectLst/>
              <a:latin typeface="Arial" panose="020B0604020202020204" pitchFamily="34" charset="0"/>
              <a:cs typeface="Arial" panose="020B0604020202020204" pitchFamily="34" charset="0"/>
            </a:rPr>
            <a:t>Describe any future additional</a:t>
          </a:r>
          <a:r>
            <a:rPr lang="en-CA" baseline="0">
              <a:effectLst/>
              <a:latin typeface="Arial" panose="020B0604020202020204" pitchFamily="34" charset="0"/>
              <a:cs typeface="Arial" panose="020B0604020202020204" pitchFamily="34" charset="0"/>
            </a:rPr>
            <a:t> proposed loads</a:t>
          </a:r>
          <a:endParaRPr lang="en-CA" sz="1100">
            <a:effectLst/>
            <a:latin typeface="Arial" panose="020B0604020202020204" pitchFamily="34" charset="0"/>
            <a:cs typeface="Arial" panose="020B0604020202020204" pitchFamily="34" charset="0"/>
          </a:endParaRPr>
        </a:p>
        <a:p>
          <a:pPr marL="685800" lvl="1" indent="-228600">
            <a:buFont typeface="+mj-lt"/>
            <a:buAutoNum type="arabicPeriod"/>
          </a:pPr>
          <a:r>
            <a:rPr lang="en-CA">
              <a:effectLst/>
              <a:latin typeface="Arial" panose="020B0604020202020204" pitchFamily="34" charset="0"/>
              <a:cs typeface="Arial" panose="020B0604020202020204" pitchFamily="34" charset="0"/>
            </a:rPr>
            <a:t>Describe potential existing electrical system issues</a:t>
          </a:r>
        </a:p>
        <a:p>
          <a:pPr marL="685800" lvl="1" indent="-228600">
            <a:buFont typeface="+mj-lt"/>
            <a:buAutoNum type="arabicPeriod"/>
          </a:pPr>
          <a:r>
            <a:rPr lang="en-CA" sz="1100" baseline="0">
              <a:effectLst/>
              <a:latin typeface="Arial" panose="020B0604020202020204" pitchFamily="34" charset="0"/>
              <a:ea typeface="+mn-ea"/>
              <a:cs typeface="Arial" panose="020B0604020202020204" pitchFamily="34" charset="0"/>
            </a:rPr>
            <a:t>Describe potential upgrades to the main electrical system to accommodate the proposed LCE measures including estimated cost.</a:t>
          </a:r>
          <a:endParaRPr lang="en-CA">
            <a:effectLst/>
            <a:latin typeface="Arial" panose="020B0604020202020204" pitchFamily="34" charset="0"/>
            <a:cs typeface="Arial" panose="020B0604020202020204" pitchFamily="34" charset="0"/>
          </a:endParaRPr>
        </a:p>
        <a:p>
          <a:pPr marL="228600" indent="-228600">
            <a:buFont typeface="+mj-lt"/>
            <a:buAutoNum type="arabicPeriod"/>
          </a:pPr>
          <a:r>
            <a:rPr lang="en-CA" sz="1100" b="1" baseline="0">
              <a:effectLst/>
              <a:latin typeface="Arial" panose="020B0604020202020204" pitchFamily="34" charset="0"/>
              <a:ea typeface="+mn-ea"/>
              <a:cs typeface="Arial" panose="020B0604020202020204" pitchFamily="34" charset="0"/>
            </a:rPr>
            <a:t>Define the electrification system boundary for the project:</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aseline="0">
              <a:effectLst/>
              <a:latin typeface="Arial" panose="020B0604020202020204" pitchFamily="34" charset="0"/>
              <a:ea typeface="+mn-ea"/>
              <a:cs typeface="Arial" panose="020B0604020202020204" pitchFamily="34" charset="0"/>
            </a:rPr>
            <a:t>Enter the equipment type, size, hours of operation, and other pertinent information.</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aseline="0">
              <a:effectLst/>
              <a:latin typeface="Arial" panose="020B0604020202020204" pitchFamily="34" charset="0"/>
              <a:ea typeface="+mn-ea"/>
              <a:cs typeface="Arial" panose="020B0604020202020204" pitchFamily="34" charset="0"/>
            </a:rPr>
            <a:t>Enter electrical system's age.</a:t>
          </a:r>
          <a:endParaRPr lang="en-CA">
            <a:effectLst/>
            <a:latin typeface="Arial" panose="020B0604020202020204" pitchFamily="34" charset="0"/>
            <a:cs typeface="Arial" panose="020B0604020202020204" pitchFamily="34" charset="0"/>
          </a:endParaRPr>
        </a:p>
        <a:p>
          <a:pPr marL="228600" indent="-228600">
            <a:buFont typeface="+mj-lt"/>
            <a:buAutoNum type="arabicPeriod"/>
          </a:pPr>
          <a:r>
            <a:rPr lang="en-CA" sz="1100" b="1" baseline="0">
              <a:effectLst/>
              <a:latin typeface="Arial" panose="020B0604020202020204" pitchFamily="34" charset="0"/>
              <a:ea typeface="+mn-ea"/>
              <a:cs typeface="Arial" panose="020B0604020202020204" pitchFamily="34" charset="0"/>
            </a:rPr>
            <a:t>Identify the LCE opportunities under consideration:</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aseline="0">
              <a:effectLst/>
              <a:latin typeface="Arial" panose="020B0604020202020204" pitchFamily="34" charset="0"/>
              <a:ea typeface="+mn-ea"/>
              <a:cs typeface="Arial" panose="020B0604020202020204" pitchFamily="34" charset="0"/>
            </a:rPr>
            <a:t>Enter the corresponding end uses, existing system type, fuel type and proposed LCE measure.</a:t>
          </a:r>
          <a:endParaRPr lang="en-CA">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baseline="0">
              <a:effectLst/>
              <a:latin typeface="Arial" panose="020B0604020202020204" pitchFamily="34" charset="0"/>
              <a:ea typeface="+mn-ea"/>
              <a:cs typeface="Arial" panose="020B0604020202020204" pitchFamily="34" charset="0"/>
            </a:rPr>
            <a:t>Enter any known potential added demand (outside LCE upgrade).</a:t>
          </a:r>
          <a:endParaRPr lang="en-CA">
            <a:effectLst/>
            <a:latin typeface="Arial" panose="020B0604020202020204" pitchFamily="34" charset="0"/>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effectLst/>
              <a:latin typeface="Arial" panose="020B0604020202020204" pitchFamily="34" charset="0"/>
              <a:ea typeface="+mn-ea"/>
              <a:cs typeface="Arial" panose="020B0604020202020204" pitchFamily="34" charset="0"/>
            </a:rPr>
            <a:t>Enter the electrical connection for the LCE equipment (single or 3-phase)</a:t>
          </a:r>
          <a:endParaRPr lang="en-CA" sz="1100">
            <a:effectLst/>
            <a:latin typeface="Arial" panose="020B0604020202020204" pitchFamily="34" charset="0"/>
            <a:cs typeface="Arial" panose="020B0604020202020204" pitchFamily="34" charset="0"/>
          </a:endParaRPr>
        </a:p>
        <a:p>
          <a:pPr marL="685800" lvl="1" indent="-228600">
            <a:buFont typeface="+mj-lt"/>
            <a:buAutoNum type="arabicPeriod"/>
          </a:pPr>
          <a:r>
            <a:rPr lang="en-CA">
              <a:effectLst/>
              <a:latin typeface="Arial" panose="020B0604020202020204" pitchFamily="34" charset="0"/>
              <a:cs typeface="Arial" panose="020B0604020202020204" pitchFamily="34" charset="0"/>
            </a:rPr>
            <a:t>Enter site fuel consumption quantity</a:t>
          </a:r>
        </a:p>
        <a:p>
          <a:pPr marL="228600" indent="-228600">
            <a:buFont typeface="+mj-lt"/>
            <a:buAutoNum type="arabicPeriod"/>
          </a:pPr>
          <a:r>
            <a:rPr lang="en-CA" sz="1100" b="1" baseline="0">
              <a:effectLst/>
              <a:latin typeface="Arial" panose="020B0604020202020204" pitchFamily="34" charset="0"/>
              <a:ea typeface="+mn-ea"/>
              <a:cs typeface="Arial" panose="020B0604020202020204" pitchFamily="34" charset="0"/>
            </a:rPr>
            <a:t>Describe the proposed project schedule, risk and accuracy.</a:t>
          </a:r>
          <a:endParaRPr lang="en-CA">
            <a:effectLst/>
            <a:latin typeface="Arial" panose="020B0604020202020204" pitchFamily="34" charset="0"/>
            <a:cs typeface="Arial" panose="020B0604020202020204" pitchFamily="34" charset="0"/>
          </a:endParaRPr>
        </a:p>
      </xdr:txBody>
    </xdr:sp>
    <xdr:clientData/>
  </xdr:twoCellAnchor>
  <xdr:twoCellAnchor editAs="oneCell">
    <xdr:from>
      <xdr:col>3</xdr:col>
      <xdr:colOff>381000</xdr:colOff>
      <xdr:row>0</xdr:row>
      <xdr:rowOff>38100</xdr:rowOff>
    </xdr:from>
    <xdr:to>
      <xdr:col>11</xdr:col>
      <xdr:colOff>168944</xdr:colOff>
      <xdr:row>4</xdr:row>
      <xdr:rowOff>160922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009775" y="38100"/>
          <a:ext cx="4740944" cy="849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483242</xdr:colOff>
      <xdr:row>1</xdr:row>
      <xdr:rowOff>208002</xdr:rowOff>
    </xdr:from>
    <xdr:to>
      <xdr:col>12</xdr:col>
      <xdr:colOff>323850</xdr:colOff>
      <xdr:row>33</xdr:row>
      <xdr:rowOff>170461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684267" y="322302"/>
          <a:ext cx="5965183" cy="6222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38</xdr:col>
      <xdr:colOff>57150</xdr:colOff>
      <xdr:row>0</xdr:row>
      <xdr:rowOff>17655</xdr:rowOff>
    </xdr:from>
    <xdr:to>
      <xdr:col>38</xdr:col>
      <xdr:colOff>57150</xdr:colOff>
      <xdr:row>4</xdr:row>
      <xdr:rowOff>39461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17655"/>
          <a:ext cx="1943659" cy="9538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26</xdr:row>
      <xdr:rowOff>57150</xdr:rowOff>
    </xdr:from>
    <xdr:to>
      <xdr:col>14</xdr:col>
      <xdr:colOff>771526</xdr:colOff>
      <xdr:row>31</xdr:row>
      <xdr:rowOff>114300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057775"/>
          <a:ext cx="8181976"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050">
              <a:effectLst/>
              <a:latin typeface="Arial" panose="020B0604020202020204" pitchFamily="34" charset="0"/>
              <a:ea typeface="Calibri"/>
              <a:cs typeface="Arial" panose="020B0604020202020204" pitchFamily="34" charset="0"/>
            </a:rPr>
            <a:t>I, the undersigned, declare:</a:t>
          </a:r>
          <a:endParaRPr lang="en-CA" sz="1050">
            <a:effectLst/>
            <a:latin typeface="Arial" panose="020B0604020202020204" pitchFamily="34" charset="0"/>
            <a:ea typeface="Calibri"/>
            <a:cs typeface="Arial" panose="020B0604020202020204" pitchFamily="34" charset="0"/>
          </a:endParaRPr>
        </a:p>
        <a:p>
          <a:pPr marL="342900" marR="0" lvl="0" indent="-342900">
            <a:spcBef>
              <a:spcPts val="0"/>
            </a:spcBef>
            <a:spcAft>
              <a:spcPts val="0"/>
            </a:spcAft>
            <a:buFont typeface="Symbol"/>
            <a:buChar char=""/>
          </a:pPr>
          <a:r>
            <a:rPr lang="en-US" sz="1050">
              <a:effectLst/>
              <a:latin typeface="Arial" panose="020B0604020202020204" pitchFamily="34" charset="0"/>
              <a:ea typeface="Calibri"/>
              <a:cs typeface="Arial" panose="020B0604020202020204" pitchFamily="34" charset="0"/>
            </a:rPr>
            <a:t>that I am the owner, or a duly authorized representative of the owner, of the building described here above;</a:t>
          </a:r>
          <a:endParaRPr lang="en-CA" sz="1050">
            <a:effectLst/>
            <a:latin typeface="Arial" panose="020B0604020202020204" pitchFamily="34" charset="0"/>
            <a:ea typeface="Calibri"/>
            <a:cs typeface="Arial" panose="020B0604020202020204" pitchFamily="34" charset="0"/>
          </a:endParaRPr>
        </a:p>
        <a:p>
          <a:pPr marL="342900" marR="0" lvl="0" indent="-342900">
            <a:spcBef>
              <a:spcPts val="0"/>
            </a:spcBef>
            <a:spcAft>
              <a:spcPts val="0"/>
            </a:spcAft>
            <a:buFont typeface="Symbol"/>
            <a:buChar char=""/>
          </a:pPr>
          <a:r>
            <a:rPr lang="en-US" sz="1050">
              <a:effectLst/>
              <a:latin typeface="Arial" panose="020B0604020202020204" pitchFamily="34" charset="0"/>
              <a:ea typeface="Calibri"/>
              <a:cs typeface="Arial" panose="020B0604020202020204" pitchFamily="34" charset="0"/>
            </a:rPr>
            <a:t>that the information in this document, along with the supporting evidence, is accurate and complete;</a:t>
          </a:r>
          <a:endParaRPr lang="en-CA" sz="1050">
            <a:effectLst/>
            <a:latin typeface="Arial" panose="020B0604020202020204" pitchFamily="34" charset="0"/>
            <a:ea typeface="Calibri"/>
            <a:cs typeface="Arial" panose="020B0604020202020204" pitchFamily="34" charset="0"/>
          </a:endParaRPr>
        </a:p>
        <a:p>
          <a:pPr marL="342900" marR="0" lvl="0" indent="-342900">
            <a:spcBef>
              <a:spcPts val="0"/>
            </a:spcBef>
            <a:spcAft>
              <a:spcPts val="0"/>
            </a:spcAft>
            <a:buFont typeface="Symbol"/>
            <a:buChar char=""/>
          </a:pPr>
          <a:r>
            <a:rPr lang="en-US" sz="1050">
              <a:effectLst/>
              <a:latin typeface="Arial" panose="020B0604020202020204" pitchFamily="34" charset="0"/>
              <a:ea typeface="Calibri"/>
              <a:cs typeface="Arial" panose="020B0604020202020204" pitchFamily="34" charset="0"/>
            </a:rPr>
            <a:t>that all the energy measures are installed and implemented as described in Table on the next page(s)</a:t>
          </a:r>
          <a:r>
            <a:rPr lang="en-US" sz="1050" baseline="0">
              <a:effectLst/>
              <a:latin typeface="Arial" panose="020B0604020202020204" pitchFamily="34" charset="0"/>
              <a:ea typeface="Calibri"/>
              <a:cs typeface="Arial" panose="020B0604020202020204" pitchFamily="34" charset="0"/>
            </a:rPr>
            <a:t> </a:t>
          </a:r>
          <a:r>
            <a:rPr lang="en-US" sz="1050">
              <a:effectLst/>
              <a:latin typeface="Arial" panose="020B0604020202020204" pitchFamily="34" charset="0"/>
              <a:ea typeface="Calibri"/>
              <a:cs typeface="Arial" panose="020B0604020202020204" pitchFamily="34" charset="0"/>
            </a:rPr>
            <a:t>as of the Project Implementation Date indicated below.</a:t>
          </a:r>
          <a:endParaRPr lang="en-CA" sz="1050">
            <a:effectLst/>
            <a:latin typeface="Arial" panose="020B0604020202020204" pitchFamily="34" charset="0"/>
            <a:ea typeface="Calibri"/>
            <a:cs typeface="Arial" panose="020B0604020202020204" pitchFamily="34" charset="0"/>
          </a:endParaRPr>
        </a:p>
        <a:p>
          <a:endParaRPr lang="en-CA" sz="105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107950</xdr:colOff>
          <xdr:row>25</xdr:row>
          <xdr:rowOff>393700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700-00000A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60</xdr:row>
          <xdr:rowOff>69850</xdr:rowOff>
        </xdr:from>
        <xdr:to>
          <xdr:col>12</xdr:col>
          <xdr:colOff>584200</xdr:colOff>
          <xdr:row>60</xdr:row>
          <xdr:rowOff>457200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700-00000C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60</xdr:row>
          <xdr:rowOff>69850</xdr:rowOff>
        </xdr:from>
        <xdr:to>
          <xdr:col>13</xdr:col>
          <xdr:colOff>603250</xdr:colOff>
          <xdr:row>60</xdr:row>
          <xdr:rowOff>457200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700-00000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60</xdr:row>
          <xdr:rowOff>69850</xdr:rowOff>
        </xdr:from>
        <xdr:to>
          <xdr:col>14</xdr:col>
          <xdr:colOff>603250</xdr:colOff>
          <xdr:row>60</xdr:row>
          <xdr:rowOff>450850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700-00000E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61</xdr:row>
          <xdr:rowOff>69850</xdr:rowOff>
        </xdr:from>
        <xdr:to>
          <xdr:col>12</xdr:col>
          <xdr:colOff>584200</xdr:colOff>
          <xdr:row>61</xdr:row>
          <xdr:rowOff>457200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700-00000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61</xdr:row>
          <xdr:rowOff>69850</xdr:rowOff>
        </xdr:from>
        <xdr:to>
          <xdr:col>13</xdr:col>
          <xdr:colOff>603250</xdr:colOff>
          <xdr:row>61</xdr:row>
          <xdr:rowOff>457200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700-000010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61</xdr:row>
          <xdr:rowOff>69850</xdr:rowOff>
        </xdr:from>
        <xdr:to>
          <xdr:col>14</xdr:col>
          <xdr:colOff>603250</xdr:colOff>
          <xdr:row>61</xdr:row>
          <xdr:rowOff>450850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700-00001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62</xdr:row>
          <xdr:rowOff>69850</xdr:rowOff>
        </xdr:from>
        <xdr:to>
          <xdr:col>12</xdr:col>
          <xdr:colOff>584200</xdr:colOff>
          <xdr:row>62</xdr:row>
          <xdr:rowOff>457200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700-00001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62</xdr:row>
          <xdr:rowOff>69850</xdr:rowOff>
        </xdr:from>
        <xdr:to>
          <xdr:col>13</xdr:col>
          <xdr:colOff>603250</xdr:colOff>
          <xdr:row>62</xdr:row>
          <xdr:rowOff>457200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700-00001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62</xdr:row>
          <xdr:rowOff>69850</xdr:rowOff>
        </xdr:from>
        <xdr:to>
          <xdr:col>14</xdr:col>
          <xdr:colOff>603250</xdr:colOff>
          <xdr:row>62</xdr:row>
          <xdr:rowOff>450850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700-00001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63</xdr:row>
          <xdr:rowOff>69850</xdr:rowOff>
        </xdr:from>
        <xdr:to>
          <xdr:col>12</xdr:col>
          <xdr:colOff>584200</xdr:colOff>
          <xdr:row>63</xdr:row>
          <xdr:rowOff>457200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700-00001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63</xdr:row>
          <xdr:rowOff>69850</xdr:rowOff>
        </xdr:from>
        <xdr:to>
          <xdr:col>13</xdr:col>
          <xdr:colOff>603250</xdr:colOff>
          <xdr:row>63</xdr:row>
          <xdr:rowOff>457200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700-000016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63</xdr:row>
          <xdr:rowOff>69850</xdr:rowOff>
        </xdr:from>
        <xdr:to>
          <xdr:col>14</xdr:col>
          <xdr:colOff>603250</xdr:colOff>
          <xdr:row>63</xdr:row>
          <xdr:rowOff>450850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700-000017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64</xdr:row>
          <xdr:rowOff>69850</xdr:rowOff>
        </xdr:from>
        <xdr:to>
          <xdr:col>12</xdr:col>
          <xdr:colOff>584200</xdr:colOff>
          <xdr:row>64</xdr:row>
          <xdr:rowOff>457200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700-000018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64</xdr:row>
          <xdr:rowOff>69850</xdr:rowOff>
        </xdr:from>
        <xdr:to>
          <xdr:col>13</xdr:col>
          <xdr:colOff>603250</xdr:colOff>
          <xdr:row>64</xdr:row>
          <xdr:rowOff>457200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700-000019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64</xdr:row>
          <xdr:rowOff>69850</xdr:rowOff>
        </xdr:from>
        <xdr:to>
          <xdr:col>14</xdr:col>
          <xdr:colOff>603250</xdr:colOff>
          <xdr:row>64</xdr:row>
          <xdr:rowOff>450850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700-00001A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65</xdr:row>
          <xdr:rowOff>69850</xdr:rowOff>
        </xdr:from>
        <xdr:to>
          <xdr:col>12</xdr:col>
          <xdr:colOff>584200</xdr:colOff>
          <xdr:row>65</xdr:row>
          <xdr:rowOff>457200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700-00001B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65</xdr:row>
          <xdr:rowOff>69850</xdr:rowOff>
        </xdr:from>
        <xdr:to>
          <xdr:col>13</xdr:col>
          <xdr:colOff>603250</xdr:colOff>
          <xdr:row>65</xdr:row>
          <xdr:rowOff>457200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700-00001C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65</xdr:row>
          <xdr:rowOff>69850</xdr:rowOff>
        </xdr:from>
        <xdr:to>
          <xdr:col>14</xdr:col>
          <xdr:colOff>603250</xdr:colOff>
          <xdr:row>65</xdr:row>
          <xdr:rowOff>450850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700-00001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66</xdr:row>
          <xdr:rowOff>69850</xdr:rowOff>
        </xdr:from>
        <xdr:to>
          <xdr:col>12</xdr:col>
          <xdr:colOff>584200</xdr:colOff>
          <xdr:row>66</xdr:row>
          <xdr:rowOff>457200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700-00001E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66</xdr:row>
          <xdr:rowOff>69850</xdr:rowOff>
        </xdr:from>
        <xdr:to>
          <xdr:col>13</xdr:col>
          <xdr:colOff>603250</xdr:colOff>
          <xdr:row>66</xdr:row>
          <xdr:rowOff>457200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700-00001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66</xdr:row>
          <xdr:rowOff>69850</xdr:rowOff>
        </xdr:from>
        <xdr:to>
          <xdr:col>14</xdr:col>
          <xdr:colOff>603250</xdr:colOff>
          <xdr:row>66</xdr:row>
          <xdr:rowOff>450850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700-000020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67</xdr:row>
          <xdr:rowOff>69850</xdr:rowOff>
        </xdr:from>
        <xdr:to>
          <xdr:col>12</xdr:col>
          <xdr:colOff>584200</xdr:colOff>
          <xdr:row>67</xdr:row>
          <xdr:rowOff>457200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700-00002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67</xdr:row>
          <xdr:rowOff>69850</xdr:rowOff>
        </xdr:from>
        <xdr:to>
          <xdr:col>13</xdr:col>
          <xdr:colOff>603250</xdr:colOff>
          <xdr:row>67</xdr:row>
          <xdr:rowOff>457200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700-00002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67</xdr:row>
          <xdr:rowOff>69850</xdr:rowOff>
        </xdr:from>
        <xdr:to>
          <xdr:col>14</xdr:col>
          <xdr:colOff>603250</xdr:colOff>
          <xdr:row>67</xdr:row>
          <xdr:rowOff>450850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700-00002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68</xdr:row>
          <xdr:rowOff>69850</xdr:rowOff>
        </xdr:from>
        <xdr:to>
          <xdr:col>12</xdr:col>
          <xdr:colOff>584200</xdr:colOff>
          <xdr:row>68</xdr:row>
          <xdr:rowOff>457200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700-00002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68</xdr:row>
          <xdr:rowOff>69850</xdr:rowOff>
        </xdr:from>
        <xdr:to>
          <xdr:col>13</xdr:col>
          <xdr:colOff>603250</xdr:colOff>
          <xdr:row>68</xdr:row>
          <xdr:rowOff>457200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700-00002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68</xdr:row>
          <xdr:rowOff>69850</xdr:rowOff>
        </xdr:from>
        <xdr:to>
          <xdr:col>14</xdr:col>
          <xdr:colOff>603250</xdr:colOff>
          <xdr:row>68</xdr:row>
          <xdr:rowOff>450850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700-000026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69</xdr:row>
          <xdr:rowOff>69850</xdr:rowOff>
        </xdr:from>
        <xdr:to>
          <xdr:col>12</xdr:col>
          <xdr:colOff>584200</xdr:colOff>
          <xdr:row>69</xdr:row>
          <xdr:rowOff>457200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700-000027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69</xdr:row>
          <xdr:rowOff>69850</xdr:rowOff>
        </xdr:from>
        <xdr:to>
          <xdr:col>13</xdr:col>
          <xdr:colOff>603250</xdr:colOff>
          <xdr:row>69</xdr:row>
          <xdr:rowOff>457200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700-000028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69</xdr:row>
          <xdr:rowOff>69850</xdr:rowOff>
        </xdr:from>
        <xdr:to>
          <xdr:col>14</xdr:col>
          <xdr:colOff>603250</xdr:colOff>
          <xdr:row>69</xdr:row>
          <xdr:rowOff>450850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700-000029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70</xdr:row>
          <xdr:rowOff>69850</xdr:rowOff>
        </xdr:from>
        <xdr:to>
          <xdr:col>12</xdr:col>
          <xdr:colOff>584200</xdr:colOff>
          <xdr:row>70</xdr:row>
          <xdr:rowOff>457200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700-00002A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70</xdr:row>
          <xdr:rowOff>69850</xdr:rowOff>
        </xdr:from>
        <xdr:to>
          <xdr:col>13</xdr:col>
          <xdr:colOff>603250</xdr:colOff>
          <xdr:row>70</xdr:row>
          <xdr:rowOff>457200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700-00002B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70</xdr:row>
          <xdr:rowOff>69850</xdr:rowOff>
        </xdr:from>
        <xdr:to>
          <xdr:col>14</xdr:col>
          <xdr:colOff>603250</xdr:colOff>
          <xdr:row>70</xdr:row>
          <xdr:rowOff>450850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700-00002C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71</xdr:row>
          <xdr:rowOff>69850</xdr:rowOff>
        </xdr:from>
        <xdr:to>
          <xdr:col>12</xdr:col>
          <xdr:colOff>584200</xdr:colOff>
          <xdr:row>71</xdr:row>
          <xdr:rowOff>457200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700-00002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71</xdr:row>
          <xdr:rowOff>69850</xdr:rowOff>
        </xdr:from>
        <xdr:to>
          <xdr:col>13</xdr:col>
          <xdr:colOff>603250</xdr:colOff>
          <xdr:row>71</xdr:row>
          <xdr:rowOff>457200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700-00002E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71</xdr:row>
          <xdr:rowOff>69850</xdr:rowOff>
        </xdr:from>
        <xdr:to>
          <xdr:col>14</xdr:col>
          <xdr:colOff>603250</xdr:colOff>
          <xdr:row>71</xdr:row>
          <xdr:rowOff>450850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700-00002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72</xdr:row>
          <xdr:rowOff>69850</xdr:rowOff>
        </xdr:from>
        <xdr:to>
          <xdr:col>12</xdr:col>
          <xdr:colOff>584200</xdr:colOff>
          <xdr:row>72</xdr:row>
          <xdr:rowOff>457200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700-000030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72</xdr:row>
          <xdr:rowOff>69850</xdr:rowOff>
        </xdr:from>
        <xdr:to>
          <xdr:col>13</xdr:col>
          <xdr:colOff>603250</xdr:colOff>
          <xdr:row>72</xdr:row>
          <xdr:rowOff>457200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700-00003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72</xdr:row>
          <xdr:rowOff>69850</xdr:rowOff>
        </xdr:from>
        <xdr:to>
          <xdr:col>14</xdr:col>
          <xdr:colOff>603250</xdr:colOff>
          <xdr:row>72</xdr:row>
          <xdr:rowOff>450850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700-00003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73</xdr:row>
          <xdr:rowOff>69850</xdr:rowOff>
        </xdr:from>
        <xdr:to>
          <xdr:col>12</xdr:col>
          <xdr:colOff>584200</xdr:colOff>
          <xdr:row>73</xdr:row>
          <xdr:rowOff>457200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700-00003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73</xdr:row>
          <xdr:rowOff>69850</xdr:rowOff>
        </xdr:from>
        <xdr:to>
          <xdr:col>13</xdr:col>
          <xdr:colOff>603250</xdr:colOff>
          <xdr:row>73</xdr:row>
          <xdr:rowOff>457200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700-00003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73</xdr:row>
          <xdr:rowOff>69850</xdr:rowOff>
        </xdr:from>
        <xdr:to>
          <xdr:col>14</xdr:col>
          <xdr:colOff>603250</xdr:colOff>
          <xdr:row>73</xdr:row>
          <xdr:rowOff>450850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700-00003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74</xdr:row>
          <xdr:rowOff>69850</xdr:rowOff>
        </xdr:from>
        <xdr:to>
          <xdr:col>12</xdr:col>
          <xdr:colOff>584200</xdr:colOff>
          <xdr:row>74</xdr:row>
          <xdr:rowOff>457200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700-000036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74</xdr:row>
          <xdr:rowOff>69850</xdr:rowOff>
        </xdr:from>
        <xdr:to>
          <xdr:col>13</xdr:col>
          <xdr:colOff>603250</xdr:colOff>
          <xdr:row>74</xdr:row>
          <xdr:rowOff>457200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700-000037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74</xdr:row>
          <xdr:rowOff>69850</xdr:rowOff>
        </xdr:from>
        <xdr:to>
          <xdr:col>14</xdr:col>
          <xdr:colOff>603250</xdr:colOff>
          <xdr:row>74</xdr:row>
          <xdr:rowOff>450850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700-000038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75</xdr:row>
          <xdr:rowOff>69850</xdr:rowOff>
        </xdr:from>
        <xdr:to>
          <xdr:col>12</xdr:col>
          <xdr:colOff>584200</xdr:colOff>
          <xdr:row>75</xdr:row>
          <xdr:rowOff>457200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700-000039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75</xdr:row>
          <xdr:rowOff>69850</xdr:rowOff>
        </xdr:from>
        <xdr:to>
          <xdr:col>13</xdr:col>
          <xdr:colOff>603250</xdr:colOff>
          <xdr:row>75</xdr:row>
          <xdr:rowOff>457200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700-00003A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75</xdr:row>
          <xdr:rowOff>69850</xdr:rowOff>
        </xdr:from>
        <xdr:to>
          <xdr:col>14</xdr:col>
          <xdr:colOff>603250</xdr:colOff>
          <xdr:row>75</xdr:row>
          <xdr:rowOff>450850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700-00003B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76</xdr:row>
          <xdr:rowOff>69850</xdr:rowOff>
        </xdr:from>
        <xdr:to>
          <xdr:col>12</xdr:col>
          <xdr:colOff>584200</xdr:colOff>
          <xdr:row>76</xdr:row>
          <xdr:rowOff>457200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700-00003C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76</xdr:row>
          <xdr:rowOff>69850</xdr:rowOff>
        </xdr:from>
        <xdr:to>
          <xdr:col>13</xdr:col>
          <xdr:colOff>603250</xdr:colOff>
          <xdr:row>76</xdr:row>
          <xdr:rowOff>457200</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700-00003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76</xdr:row>
          <xdr:rowOff>69850</xdr:rowOff>
        </xdr:from>
        <xdr:to>
          <xdr:col>14</xdr:col>
          <xdr:colOff>603250</xdr:colOff>
          <xdr:row>76</xdr:row>
          <xdr:rowOff>450850</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700-00003E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77</xdr:row>
          <xdr:rowOff>69850</xdr:rowOff>
        </xdr:from>
        <xdr:to>
          <xdr:col>12</xdr:col>
          <xdr:colOff>584200</xdr:colOff>
          <xdr:row>77</xdr:row>
          <xdr:rowOff>457200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700-00003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77</xdr:row>
          <xdr:rowOff>69850</xdr:rowOff>
        </xdr:from>
        <xdr:to>
          <xdr:col>13</xdr:col>
          <xdr:colOff>603250</xdr:colOff>
          <xdr:row>77</xdr:row>
          <xdr:rowOff>457200</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700-000040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77</xdr:row>
          <xdr:rowOff>69850</xdr:rowOff>
        </xdr:from>
        <xdr:to>
          <xdr:col>14</xdr:col>
          <xdr:colOff>603250</xdr:colOff>
          <xdr:row>77</xdr:row>
          <xdr:rowOff>450850</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700-00004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78</xdr:row>
          <xdr:rowOff>69850</xdr:rowOff>
        </xdr:from>
        <xdr:to>
          <xdr:col>12</xdr:col>
          <xdr:colOff>584200</xdr:colOff>
          <xdr:row>78</xdr:row>
          <xdr:rowOff>457200</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700-00004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78</xdr:row>
          <xdr:rowOff>69850</xdr:rowOff>
        </xdr:from>
        <xdr:to>
          <xdr:col>13</xdr:col>
          <xdr:colOff>603250</xdr:colOff>
          <xdr:row>78</xdr:row>
          <xdr:rowOff>457200</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id="{00000000-0008-0000-0700-00004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78</xdr:row>
          <xdr:rowOff>69850</xdr:rowOff>
        </xdr:from>
        <xdr:to>
          <xdr:col>14</xdr:col>
          <xdr:colOff>603250</xdr:colOff>
          <xdr:row>78</xdr:row>
          <xdr:rowOff>450850</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700-00004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79</xdr:row>
          <xdr:rowOff>69850</xdr:rowOff>
        </xdr:from>
        <xdr:to>
          <xdr:col>12</xdr:col>
          <xdr:colOff>584200</xdr:colOff>
          <xdr:row>79</xdr:row>
          <xdr:rowOff>457200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700-00004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79</xdr:row>
          <xdr:rowOff>69850</xdr:rowOff>
        </xdr:from>
        <xdr:to>
          <xdr:col>13</xdr:col>
          <xdr:colOff>603250</xdr:colOff>
          <xdr:row>79</xdr:row>
          <xdr:rowOff>457200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700-000046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79</xdr:row>
          <xdr:rowOff>69850</xdr:rowOff>
        </xdr:from>
        <xdr:to>
          <xdr:col>14</xdr:col>
          <xdr:colOff>603250</xdr:colOff>
          <xdr:row>79</xdr:row>
          <xdr:rowOff>450850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700-000047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80</xdr:row>
          <xdr:rowOff>69850</xdr:rowOff>
        </xdr:from>
        <xdr:to>
          <xdr:col>12</xdr:col>
          <xdr:colOff>584200</xdr:colOff>
          <xdr:row>80</xdr:row>
          <xdr:rowOff>457200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700-000048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80</xdr:row>
          <xdr:rowOff>69850</xdr:rowOff>
        </xdr:from>
        <xdr:to>
          <xdr:col>13</xdr:col>
          <xdr:colOff>603250</xdr:colOff>
          <xdr:row>80</xdr:row>
          <xdr:rowOff>457200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700-000049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80</xdr:row>
          <xdr:rowOff>69850</xdr:rowOff>
        </xdr:from>
        <xdr:to>
          <xdr:col>14</xdr:col>
          <xdr:colOff>603250</xdr:colOff>
          <xdr:row>80</xdr:row>
          <xdr:rowOff>450850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700-00004A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81</xdr:row>
          <xdr:rowOff>69850</xdr:rowOff>
        </xdr:from>
        <xdr:to>
          <xdr:col>12</xdr:col>
          <xdr:colOff>584200</xdr:colOff>
          <xdr:row>81</xdr:row>
          <xdr:rowOff>457200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700-00004B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81</xdr:row>
          <xdr:rowOff>69850</xdr:rowOff>
        </xdr:from>
        <xdr:to>
          <xdr:col>13</xdr:col>
          <xdr:colOff>603250</xdr:colOff>
          <xdr:row>81</xdr:row>
          <xdr:rowOff>457200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700-00004C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81</xdr:row>
          <xdr:rowOff>69850</xdr:rowOff>
        </xdr:from>
        <xdr:to>
          <xdr:col>14</xdr:col>
          <xdr:colOff>603250</xdr:colOff>
          <xdr:row>81</xdr:row>
          <xdr:rowOff>450850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700-00004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82</xdr:row>
          <xdr:rowOff>69850</xdr:rowOff>
        </xdr:from>
        <xdr:to>
          <xdr:col>12</xdr:col>
          <xdr:colOff>584200</xdr:colOff>
          <xdr:row>82</xdr:row>
          <xdr:rowOff>457200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700-00004E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82</xdr:row>
          <xdr:rowOff>69850</xdr:rowOff>
        </xdr:from>
        <xdr:to>
          <xdr:col>13</xdr:col>
          <xdr:colOff>603250</xdr:colOff>
          <xdr:row>82</xdr:row>
          <xdr:rowOff>457200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700-00004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82</xdr:row>
          <xdr:rowOff>69850</xdr:rowOff>
        </xdr:from>
        <xdr:to>
          <xdr:col>14</xdr:col>
          <xdr:colOff>603250</xdr:colOff>
          <xdr:row>82</xdr:row>
          <xdr:rowOff>450850</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700-000050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83</xdr:row>
          <xdr:rowOff>69850</xdr:rowOff>
        </xdr:from>
        <xdr:to>
          <xdr:col>12</xdr:col>
          <xdr:colOff>584200</xdr:colOff>
          <xdr:row>83</xdr:row>
          <xdr:rowOff>457200</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700-00005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83</xdr:row>
          <xdr:rowOff>69850</xdr:rowOff>
        </xdr:from>
        <xdr:to>
          <xdr:col>13</xdr:col>
          <xdr:colOff>603250</xdr:colOff>
          <xdr:row>83</xdr:row>
          <xdr:rowOff>457200</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700-00005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83</xdr:row>
          <xdr:rowOff>69850</xdr:rowOff>
        </xdr:from>
        <xdr:to>
          <xdr:col>14</xdr:col>
          <xdr:colOff>603250</xdr:colOff>
          <xdr:row>83</xdr:row>
          <xdr:rowOff>450850</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700-00005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84</xdr:row>
          <xdr:rowOff>69850</xdr:rowOff>
        </xdr:from>
        <xdr:to>
          <xdr:col>12</xdr:col>
          <xdr:colOff>584200</xdr:colOff>
          <xdr:row>84</xdr:row>
          <xdr:rowOff>457200</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700-000054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84</xdr:row>
          <xdr:rowOff>69850</xdr:rowOff>
        </xdr:from>
        <xdr:to>
          <xdr:col>13</xdr:col>
          <xdr:colOff>603250</xdr:colOff>
          <xdr:row>84</xdr:row>
          <xdr:rowOff>457200</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700-000055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84</xdr:row>
          <xdr:rowOff>69850</xdr:rowOff>
        </xdr:from>
        <xdr:to>
          <xdr:col>14</xdr:col>
          <xdr:colOff>603250</xdr:colOff>
          <xdr:row>84</xdr:row>
          <xdr:rowOff>450850</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700-000056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56</xdr:row>
          <xdr:rowOff>69850</xdr:rowOff>
        </xdr:from>
        <xdr:to>
          <xdr:col>12</xdr:col>
          <xdr:colOff>584200</xdr:colOff>
          <xdr:row>56</xdr:row>
          <xdr:rowOff>457200</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700-000057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56</xdr:row>
          <xdr:rowOff>69850</xdr:rowOff>
        </xdr:from>
        <xdr:to>
          <xdr:col>13</xdr:col>
          <xdr:colOff>603250</xdr:colOff>
          <xdr:row>56</xdr:row>
          <xdr:rowOff>457200</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700-000058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56</xdr:row>
          <xdr:rowOff>69850</xdr:rowOff>
        </xdr:from>
        <xdr:to>
          <xdr:col>14</xdr:col>
          <xdr:colOff>603250</xdr:colOff>
          <xdr:row>56</xdr:row>
          <xdr:rowOff>450850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700-000059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59</xdr:row>
          <xdr:rowOff>69850</xdr:rowOff>
        </xdr:from>
        <xdr:to>
          <xdr:col>12</xdr:col>
          <xdr:colOff>584200</xdr:colOff>
          <xdr:row>59</xdr:row>
          <xdr:rowOff>457200</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700-00005D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59</xdr:row>
          <xdr:rowOff>69850</xdr:rowOff>
        </xdr:from>
        <xdr:to>
          <xdr:col>13</xdr:col>
          <xdr:colOff>603250</xdr:colOff>
          <xdr:row>59</xdr:row>
          <xdr:rowOff>457200</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700-00005E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59</xdr:row>
          <xdr:rowOff>69850</xdr:rowOff>
        </xdr:from>
        <xdr:to>
          <xdr:col>14</xdr:col>
          <xdr:colOff>603250</xdr:colOff>
          <xdr:row>59</xdr:row>
          <xdr:rowOff>450850</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700-00005F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152400</xdr:colOff>
          <xdr:row>19</xdr:row>
          <xdr:rowOff>107950</xdr:rowOff>
        </xdr:from>
        <xdr:to>
          <xdr:col>14</xdr:col>
          <xdr:colOff>412750</xdr:colOff>
          <xdr:row>20</xdr:row>
          <xdr:rowOff>107950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12700</xdr:rowOff>
        </xdr:from>
        <xdr:to>
          <xdr:col>8</xdr:col>
          <xdr:colOff>317500</xdr:colOff>
          <xdr:row>23</xdr:row>
          <xdr:rowOff>76200</xdr:rowOff>
        </xdr:to>
        <xdr:sp macro="" textlink="">
          <xdr:nvSpPr>
            <xdr:cNvPr id="24578" name="Group Box 2" hidden="1">
              <a:extLst>
                <a:ext uri="{63B3BB69-23CF-44E3-9099-C40C66FF867C}">
                  <a14:compatExt spid="_x0000_s24578"/>
                </a:ext>
                <a:ext uri="{FF2B5EF4-FFF2-40B4-BE49-F238E27FC236}">
                  <a16:creationId xmlns:a16="http://schemas.microsoft.com/office/drawing/2014/main" id="{00000000-0008-0000-0800-00000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CA" sz="800" b="0" i="0" u="none" strike="noStrike" baseline="0">
                  <a:solidFill>
                    <a:srgbClr val="000000"/>
                  </a:solidFill>
                  <a:latin typeface="Tahoma"/>
                  <a:ea typeface="Tahoma"/>
                  <a:cs typeface="Tahoma"/>
                </a:rPr>
                <a:t>Group Box 30</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361950</xdr:colOff>
      <xdr:row>0</xdr:row>
      <xdr:rowOff>47625</xdr:rowOff>
    </xdr:from>
    <xdr:to>
      <xdr:col>16</xdr:col>
      <xdr:colOff>400050</xdr:colOff>
      <xdr:row>33</xdr:row>
      <xdr:rowOff>133350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61950" y="47625"/>
          <a:ext cx="11134725" cy="605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Calculation Methodology for Mechanical Measures (MUAs, Space Heating and DHW)                        </a:t>
          </a:r>
        </a:p>
        <a:p>
          <a:pPr marL="228600" indent="-228600">
            <a:buFont typeface="+mj-lt"/>
            <a:buAutoNum type="arabicPeriod"/>
          </a:pPr>
          <a:r>
            <a:rPr lang="en-US" sz="1100">
              <a:solidFill>
                <a:schemeClr val="dk1"/>
              </a:solidFill>
              <a:effectLst/>
              <a:latin typeface="+mn-lt"/>
              <a:ea typeface="+mn-ea"/>
              <a:cs typeface="+mn-cs"/>
            </a:rPr>
            <a:t>Create a thermal energy use breakdown of space heating, make-up air heating and DHW heating.                   </a:t>
          </a:r>
        </a:p>
        <a:p>
          <a:pPr marL="685800" lvl="1" indent="-228600">
            <a:buFont typeface="+mj-lt"/>
            <a:buAutoNum type="arabicPeriod"/>
          </a:pPr>
          <a:r>
            <a:rPr lang="en-US" sz="1100">
              <a:solidFill>
                <a:schemeClr val="dk1"/>
              </a:solidFill>
              <a:effectLst/>
              <a:latin typeface="+mn-lt"/>
              <a:ea typeface="+mn-ea"/>
              <a:cs typeface="+mn-cs"/>
            </a:rPr>
            <a:t>This can be created using the natural gas utility bills or based on CleanBC energy model                        </a:t>
          </a:r>
        </a:p>
        <a:p>
          <a:pPr marL="685800" lvl="1" indent="-228600">
            <a:buFont typeface="+mj-lt"/>
            <a:buAutoNum type="arabicPeriod"/>
          </a:pPr>
          <a:r>
            <a:rPr lang="en-US" sz="1100">
              <a:solidFill>
                <a:schemeClr val="dk1"/>
              </a:solidFill>
              <a:effectLst/>
              <a:latin typeface="+mn-lt"/>
              <a:ea typeface="+mn-ea"/>
              <a:cs typeface="+mn-cs"/>
            </a:rPr>
            <a:t>Using natural gas bills is the priority given this is reflective of the actual building. Questionnaire aims to determine where natural gas is used in the building and where it is applicable to use gas bill data.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Gas data is dissected between the base load and weather dependent load. The baseload portion is attributed to DHW while the weather dependent portion is for heating (space heating and make-up air heating)                        </a:t>
          </a:r>
        </a:p>
        <a:p>
          <a:pPr marL="685800" lvl="1" indent="-228600">
            <a:buFont typeface="+mj-lt"/>
            <a:buAutoNum type="arabicPeriod"/>
          </a:pPr>
          <a:r>
            <a:rPr lang="en-US" sz="1100">
              <a:solidFill>
                <a:schemeClr val="dk1"/>
              </a:solidFill>
              <a:effectLst/>
              <a:latin typeface="+mn-lt"/>
              <a:ea typeface="+mn-ea"/>
              <a:cs typeface="+mn-cs"/>
            </a:rPr>
            <a:t>Makeup air heating is calculated based on the number of suites and the floor area. Number of occupants and floor area is populated into an ASHRAE 62.1 calculation to determine outdoor air rate. HDD21 is used to calculate thermal load required to heat this outdoor to 21C year round. This is the room temperature, this is an internal space with no envelope losses, air is simply being replaced at the same temperature.                        </a:t>
          </a:r>
        </a:p>
        <a:p>
          <a:pPr marL="685800" lvl="1" indent="-228600">
            <a:buFont typeface="+mj-lt"/>
            <a:buAutoNum type="arabicPeriod"/>
          </a:pPr>
          <a:r>
            <a:rPr lang="en-US" sz="1100">
              <a:solidFill>
                <a:schemeClr val="dk1"/>
              </a:solidFill>
              <a:effectLst/>
              <a:latin typeface="+mn-lt"/>
              <a:ea typeface="+mn-ea"/>
              <a:cs typeface="+mn-cs"/>
            </a:rPr>
            <a:t>Total heating load is subtracted by the MUA heating load to determine space heating                        </a:t>
          </a:r>
        </a:p>
        <a:p>
          <a:pPr marL="685800" lvl="1" indent="-228600">
            <a:buFont typeface="+mj-lt"/>
            <a:buAutoNum type="arabicPeriod"/>
          </a:pPr>
          <a:r>
            <a:rPr lang="en-US" sz="1100">
              <a:solidFill>
                <a:schemeClr val="dk1"/>
              </a:solidFill>
              <a:effectLst/>
              <a:latin typeface="+mn-lt"/>
              <a:ea typeface="+mn-ea"/>
              <a:cs typeface="+mn-cs"/>
            </a:rPr>
            <a:t>Where gas data cannot be used, it defaults to using the energy model data. There are 2 models, one for high rise and one for low rise. Low rise is everything 4 stories and below.                        </a:t>
          </a:r>
        </a:p>
        <a:p>
          <a:pPr marL="685800" lvl="1" indent="-228600">
            <a:buFont typeface="+mj-lt"/>
            <a:buAutoNum type="arabicPeriod"/>
          </a:pPr>
          <a:r>
            <a:rPr lang="en-US" sz="1100">
              <a:solidFill>
                <a:schemeClr val="dk1"/>
              </a:solidFill>
              <a:effectLst/>
              <a:latin typeface="+mn-lt"/>
              <a:ea typeface="+mn-ea"/>
              <a:cs typeface="+mn-cs"/>
            </a:rPr>
            <a:t>energy model also breaksdown heating vs. DHW heating. Heating is broken out between space heating and make-up air heating in the same manner above. Make-up air heating load is always calculated.                        </a:t>
          </a:r>
        </a:p>
        <a:p>
          <a:pPr marL="685800" lvl="1" indent="-228600">
            <a:buFont typeface="+mj-lt"/>
            <a:buAutoNum type="arabicPeriod"/>
          </a:pPr>
          <a:r>
            <a:rPr lang="en-US" sz="1100">
              <a:solidFill>
                <a:schemeClr val="dk1"/>
              </a:solidFill>
              <a:effectLst/>
              <a:latin typeface="+mn-lt"/>
              <a:ea typeface="+mn-ea"/>
              <a:cs typeface="+mn-cs"/>
            </a:rPr>
            <a:t>Logic for whether energy model data or gas data is used is defined in logic below.                        </a:t>
          </a:r>
        </a:p>
        <a:p>
          <a:pPr marL="228600" indent="-228600">
            <a:buFont typeface="+mj-lt"/>
            <a:buAutoNum type="arabicPeriod"/>
          </a:pPr>
          <a:r>
            <a:rPr lang="en-US" sz="1100">
              <a:solidFill>
                <a:schemeClr val="dk1"/>
              </a:solidFill>
              <a:effectLst/>
              <a:latin typeface="+mn-lt"/>
              <a:ea typeface="+mn-ea"/>
              <a:cs typeface="+mn-cs"/>
            </a:rPr>
            <a:t>Determine the building energy use metrics (space cooling load, space heating/cooling demand, make-up heating demand). These are all derived from the CleanBC express model as a kwh/ft2 or W/ft2 metric.              </a:t>
          </a:r>
        </a:p>
        <a:p>
          <a:pPr marL="228600" indent="-228600">
            <a:buFont typeface="+mj-lt"/>
            <a:buAutoNum type="arabicPeriod"/>
          </a:pPr>
          <a:r>
            <a:rPr lang="en-US" sz="1100">
              <a:solidFill>
                <a:schemeClr val="dk1"/>
              </a:solidFill>
              <a:effectLst/>
              <a:latin typeface="+mn-lt"/>
              <a:ea typeface="+mn-ea"/>
              <a:cs typeface="+mn-cs"/>
            </a:rPr>
            <a:t>Determine the DHW heating demand (kW per suite), this value is from the Ecotope modeling report for multifamily load shifting.                        </a:t>
          </a:r>
        </a:p>
        <a:p>
          <a:pPr marL="228600" indent="-228600">
            <a:buFont typeface="+mj-lt"/>
            <a:buAutoNum type="arabicPeriod"/>
          </a:pPr>
          <a:r>
            <a:rPr lang="en-US" sz="1100">
              <a:solidFill>
                <a:schemeClr val="dk1"/>
              </a:solidFill>
              <a:effectLst/>
              <a:latin typeface="+mn-lt"/>
              <a:ea typeface="+mn-ea"/>
              <a:cs typeface="+mn-cs"/>
            </a:rPr>
            <a:t>Provide further breakdown on zone space heating energy into wall, roof and window (this is required to calculate savings associated with envelope measures)                        </a:t>
          </a:r>
        </a:p>
        <a:p>
          <a:pPr marL="685800" lvl="1" indent="-228600">
            <a:buFont typeface="+mj-lt"/>
            <a:buAutoNum type="arabicPeriod"/>
          </a:pPr>
          <a:r>
            <a:rPr lang="en-US" sz="1100">
              <a:solidFill>
                <a:schemeClr val="dk1"/>
              </a:solidFill>
              <a:effectLst/>
              <a:latin typeface="+mn-lt"/>
              <a:ea typeface="+mn-ea"/>
              <a:cs typeface="+mn-cs"/>
            </a:rPr>
            <a:t>This breakdown is based on estimated wall, window and roof areas based on area per floor (derived from total floor area and number of floors) and U-value estimates based on building age.                        </a:t>
          </a:r>
        </a:p>
        <a:p>
          <a:pPr marL="685800" lvl="1" indent="-228600">
            <a:buFont typeface="+mj-lt"/>
            <a:buAutoNum type="arabicPeriod"/>
          </a:pPr>
          <a:r>
            <a:rPr lang="en-US" sz="1100">
              <a:solidFill>
                <a:schemeClr val="dk1"/>
              </a:solidFill>
              <a:effectLst/>
              <a:latin typeface="+mn-lt"/>
              <a:ea typeface="+mn-ea"/>
              <a:cs typeface="+mn-cs"/>
            </a:rPr>
            <a:t>wall, window and roof area estimates assumes building has a square foot print and an exterior wall is 20% window and 80% wall                        </a:t>
          </a:r>
        </a:p>
        <a:p>
          <a:pPr marL="685800" lvl="1" indent="-228600">
            <a:buFont typeface="+mj-lt"/>
            <a:buAutoNum type="arabicPeriod"/>
          </a:pPr>
          <a:r>
            <a:rPr lang="en-US" sz="1100">
              <a:solidFill>
                <a:schemeClr val="dk1"/>
              </a:solidFill>
              <a:effectLst/>
              <a:latin typeface="+mn-lt"/>
              <a:ea typeface="+mn-ea"/>
              <a:cs typeface="+mn-cs"/>
            </a:rPr>
            <a:t>U values and building age is shown is</a:t>
          </a:r>
          <a:r>
            <a:rPr lang="en-US" sz="1100" baseline="0">
              <a:solidFill>
                <a:schemeClr val="dk1"/>
              </a:solidFill>
              <a:effectLst/>
              <a:latin typeface="+mn-lt"/>
              <a:ea typeface="+mn-ea"/>
              <a:cs typeface="+mn-cs"/>
            </a:rPr>
            <a:t> referenced in hidden table under project info.</a:t>
          </a:r>
          <a:r>
            <a:rPr lang="en-US" sz="1100">
              <a:solidFill>
                <a:schemeClr val="dk1"/>
              </a:solidFill>
              <a:effectLst/>
              <a:latin typeface="+mn-lt"/>
              <a:ea typeface="+mn-ea"/>
              <a:cs typeface="+mn-cs"/>
            </a:rPr>
            <a:t>                   </a:t>
          </a:r>
        </a:p>
        <a:p>
          <a:pPr marL="685800" lvl="1" indent="-228600">
            <a:buFont typeface="+mj-lt"/>
            <a:buAutoNum type="arabicPeriod"/>
          </a:pPr>
          <a:r>
            <a:rPr lang="en-US" sz="1100">
              <a:solidFill>
                <a:schemeClr val="dk1"/>
              </a:solidFill>
              <a:effectLst/>
              <a:latin typeface="+mn-lt"/>
              <a:ea typeface="+mn-ea"/>
              <a:cs typeface="+mn-cs"/>
            </a:rPr>
            <a:t>if space heating load is calculated using energy model data (which assumes a 2010 building), then space heating is adjusted based on envelope performance. Older buildings will have higher space heating usage.                        </a:t>
          </a:r>
        </a:p>
        <a:p>
          <a:pPr marL="228600" indent="-228600">
            <a:buFont typeface="+mj-lt"/>
            <a:buAutoNum type="arabicPeriod"/>
          </a:pPr>
          <a:r>
            <a:rPr lang="en-US" sz="1100">
              <a:solidFill>
                <a:schemeClr val="dk1"/>
              </a:solidFill>
              <a:effectLst/>
              <a:latin typeface="+mn-lt"/>
              <a:ea typeface="+mn-ea"/>
              <a:cs typeface="+mn-cs"/>
            </a:rPr>
            <a:t>At this point, there are established metrics for space heating, space cooling, make-up air (ventilation heating), DHW and Envelope. These metrics are used to calculate energy savings for the respective measures. These values are found on the "NLIndex" tab, which lists the associated Elec savings, gas savings and demand savings per metric                        </a:t>
          </a:r>
        </a:p>
        <a:p>
          <a:pPr marL="685800" lvl="1" indent="-228600">
            <a:buFont typeface="+mj-lt"/>
            <a:buAutoNum type="arabicPeriod"/>
          </a:pPr>
          <a:r>
            <a:rPr lang="en-US" sz="1100">
              <a:solidFill>
                <a:schemeClr val="dk1"/>
              </a:solidFill>
              <a:effectLst/>
              <a:latin typeface="+mn-lt"/>
              <a:ea typeface="+mn-ea"/>
              <a:cs typeface="+mn-cs"/>
            </a:rPr>
            <a:t> for example, proposed measure is implementing HP on 25% of spaces which was previously heated by gas. Space heating kWh/ft2 metric would allow us to determine the amount of space load. Gas savings would be kWh/ft2 metric x area served / 0.80 eff. While elec increase would be kWh/ft2 metric x area served / HP average annual COP. Similar approach is taken to determine demand increase.                        </a:t>
          </a:r>
        </a:p>
        <a:p>
          <a:pPr marL="685800" lvl="1" indent="-228600">
            <a:buFont typeface="+mj-lt"/>
            <a:buAutoNum type="arabicPeriod"/>
          </a:pPr>
          <a:r>
            <a:rPr lang="en-US" sz="1100">
              <a:solidFill>
                <a:schemeClr val="dk1"/>
              </a:solidFill>
              <a:effectLst/>
              <a:latin typeface="+mn-lt"/>
              <a:ea typeface="+mn-ea"/>
              <a:cs typeface="+mn-cs"/>
            </a:rPr>
            <a:t>Note for HP calculations, COP metrics </a:t>
          </a:r>
          <a:r>
            <a:rPr lang="en-US" sz="1100" baseline="0">
              <a:solidFill>
                <a:schemeClr val="dk1"/>
              </a:solidFill>
              <a:effectLst/>
              <a:latin typeface="+mn-lt"/>
              <a:ea typeface="+mn-ea"/>
              <a:cs typeface="+mn-cs"/>
            </a:rPr>
            <a:t>hidden table under project info</a:t>
          </a:r>
          <a:r>
            <a:rPr lang="en-US" sz="1100">
              <a:solidFill>
                <a:schemeClr val="dk1"/>
              </a:solidFill>
              <a:effectLst/>
              <a:latin typeface="+mn-lt"/>
              <a:ea typeface="+mn-ea"/>
              <a:cs typeface="+mn-cs"/>
            </a:rPr>
            <a:t>. This is includes annual average COPs, COP during peak conditions (for deman calculations).                                    </a:t>
          </a:r>
        </a:p>
        <a:p>
          <a:pPr marL="685800" lvl="1" indent="-228600">
            <a:buFont typeface="+mj-lt"/>
            <a:buAutoNum type="arabicPeriod"/>
          </a:pPr>
          <a:r>
            <a:rPr lang="en-US" sz="1100">
              <a:solidFill>
                <a:schemeClr val="dk1"/>
              </a:solidFill>
              <a:effectLst/>
              <a:latin typeface="+mn-lt"/>
              <a:ea typeface="+mn-ea"/>
              <a:cs typeface="+mn-cs"/>
            </a:rPr>
            <a:t>Envelope measures, measure assumes update from baseline (determined from building age) to the retrofit scenario (row 97). This results in thermal load reductions to the wall, roof or window category, respectively.        </a:t>
          </a:r>
        </a:p>
        <a:p>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ariabl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26C4871-840B-4D2D-A3A3-FDCAA98DCC74}" name="Table1323" displayName="Table1323" ref="B6:AK156" totalsRowShown="0" headerRowDxfId="172" dataDxfId="170" headerRowBorderDxfId="171" tableBorderDxfId="169" totalsRowBorderDxfId="168">
  <autoFilter ref="B6:AK156" xr:uid="{E26C4871-840B-4D2D-A3A3-FDCAA98DCC74}"/>
  <tableColumns count="36">
    <tableColumn id="46" xr3:uid="{28671D1D-3B3D-49ED-9FD1-30FF3E3C2D12}" name="No" dataDxfId="167">
      <calculatedColumnFormula>IF(Table1323[[#This Row],[Space Type]]="","","L-"&amp;ROW(1:1))</calculatedColumnFormula>
    </tableColumn>
    <tableColumn id="1" xr3:uid="{3A1D8F30-F53C-49EA-B299-EAD1E6583576}" name="Selected for Implementation" dataDxfId="166"/>
    <tableColumn id="2" xr3:uid="{A5D695AF-8BFC-41B8-868E-23B4481D5E10}" name="Space Type" dataDxfId="165"/>
    <tableColumn id="58" xr3:uid="{260879D1-69A8-4EFD-8599-105D77A847DE}" name="Space Description" dataDxfId="164"/>
    <tableColumn id="42" xr3:uid="{C06CE9E8-62C7-4FC4-85F0-16F8B10309CD}" name="Quantity of luminaires or lamps" dataDxfId="163"/>
    <tableColumn id="4" xr3:uid="{6C2FE32C-EB70-46CC-AAD6-AF381A950F6B}" name="Annual hours from space type" dataDxfId="162">
      <calculatedColumnFormula>IFERROR(IF(Table1323[[#This Row],[No]]="","",IF(Table1323[[#This Row],[Space Type]]="","select Space Type",INDEX(Table5[Hours],MATCH(Table1323[[#This Row],[Space Type]],Table5[Space Type],0)))),"")</calculatedColumnFormula>
    </tableColumn>
    <tableColumn id="49" xr3:uid="{A0802DD0-B257-480C-87E3-2DF4CED2A267}" name="Rebate Category" dataDxfId="161"/>
    <tableColumn id="23" xr3:uid="{7318E9BB-F75D-4836-817D-321485D40726}" name="Input / field setting wattage per new luminaire or lamp" dataDxfId="160"/>
    <tableColumn id="3" xr3:uid="{DA036C94-8A60-49F8-AD5F-A0C3D5292C44}" name="Integrated Controls Capable" dataDxfId="159">
      <calculatedColumnFormula>IFERROR(INDEX(Table1[Integrated Controls Capable],MATCH(Table1323[[#This Row],[Rebate Category]],Table1[BC Hydro Rebate Category],0)),"")</calculatedColumnFormula>
    </tableColumn>
    <tableColumn id="5" xr3:uid="{2FF19865-7B21-4925-8851-8764EE226733}" name="Fixture Integrated Occupancy/Daylight Harvesting Sensors?" dataDxfId="158"/>
    <tableColumn id="14" xr3:uid="{6A3AE9A3-149D-4E64-AF3C-C5DD103D4418}" name="Rebate per luminaire, ($)" dataDxfId="157">
      <calculatedColumnFormula array="1">IFERROR(INDEX(Table1[Rebate],MATCH(Table1323[[#This Row],[Rebate Category]],Table1[BC Hydro Rebate Category],0))+IF(AND(Table1323[[#This Row],[Integrated Controls Capable]],Table1323[[#This Row],[Fixture Integrated Occupancy/Daylight Harvesting Sensors?]]="Yes"),Table6[],0),"")</calculatedColumnFormula>
    </tableColumn>
    <tableColumn id="21" xr3:uid="{175590FF-7C9F-4F07-9C07-23D9CD299D63}" name="Incentive _x000a_unit" dataDxfId="156">
      <calculatedColumnFormula>IFERROR(IF(AND(Table1323[[#This Row],[Integrated Controls Capable]],Table1323[[#This Row],[Fixture Integrated Occupancy/Daylight Harvesting Sensors?]]="Yes"),"per integrated luminaire", INDEX(Table1[Rebate Unit],MATCH(Table1323[[#This Row],[Rebate Category]],Table1[BC Hydro Rebate Category],0))),"")</calculatedColumnFormula>
    </tableColumn>
    <tableColumn id="15" xr3:uid="{09700A33-B061-4167-8D67-FAF00A7EC705}" name="LED lamp/luminaire retrofit part #" dataDxfId="155"/>
    <tableColumn id="52" xr3:uid="{F04DE347-BB0E-41A6-AD25-651AFD1A35B2}" name="Stand Alone Ceiling/Wall Mounted Occupancy/Daylight Harvesting Sensors?" dataDxfId="154"/>
    <tableColumn id="53" xr3:uid="{A4C1CAA7-81B7-47C9-A4B8-434BFA3B5E95}" name="Number of  sensors" dataDxfId="153"/>
    <tableColumn id="41" xr3:uid="{4D3E1659-DDE7-4919-B667-60C7FFD6BD42}" name="Lighting Rebate" dataDxfId="152">
      <calculatedColumnFormula>IFERROR(Table1323[[#This Row],[Rebate per luminaire, ($)]]*Table1323[[#This Row],[Quantity of luminaires or lamps]],0)</calculatedColumnFormula>
    </tableColumn>
    <tableColumn id="38" xr3:uid="{018554CB-3026-47C0-A4E5-A4FFFC925990}" name="Controls Rebate" dataDxfId="151">
      <calculatedColumnFormula>IFERROR(IF(AND(Table1323[[#This Row],[Stand Alone Ceiling/Wall Mounted Occupancy/Daylight Harvesting Sensors?]]="Yes",OR(Table1323[[#This Row],[Integrated Controls Capable]]=FALSE,Table1323[[#This Row],[Fixture Integrated Occupancy/Daylight Harvesting Sensors?]]="None")),Table13[]*Table1323[[#This Row],[Number of  sensors]],0),0)</calculatedColumnFormula>
    </tableColumn>
    <tableColumn id="9" xr3:uid="{8391EBB2-4CBB-457D-B5B7-C9C9210395DD}" name="BC Hydro Lighting Rebate" dataDxfId="150">
      <calculatedColumnFormula>IFERROR(IF(Table1323[[#This Row],[Quantity of luminaires or lamps]]="","",IF(Table1323[[#This Row],[Controls Rebate]]="",0,Table1323[[#This Row],[Controls Rebate]])+Table1323[[#This Row],[Lighting Rebate]]),"")</calculatedColumnFormula>
    </tableColumn>
    <tableColumn id="34" xr3:uid="{7C5EE94B-5B04-4360-9B4B-8071903AE10A}" name="Rebate kW Savings" dataDxfId="149">
      <calculatedColumnFormula>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calculatedColumnFormula>
    </tableColumn>
    <tableColumn id="55" xr3:uid="{E2E54C73-0EC4-41B5-AEA5-C7F2FA798D7E}" name="Rebate kWh savings" dataDxfId="148">
      <calculatedColumnFormula>IFERROR(Table1323[[#This Row],[Rebate kW Savings]]*Table1323[[#This Row],[Annual hours from space type]],0)</calculatedColumnFormula>
    </tableColumn>
    <tableColumn id="39" xr3:uid="{6B55586E-D1A3-4212-85F6-AFCDD563E9D5}" name="Controls Rebate kWh Savings" dataDxfId="147">
      <calculatedColumnFormula>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calculatedColumnFormula>
    </tableColumn>
    <tableColumn id="17" xr3:uid="{8D95C7DE-50D1-4313-848F-2B223142110C}" name="Total Lighting Rebate Energy Savings" dataDxfId="146">
      <calculatedColumnFormula>Table1323[[#This Row],[Rebate kWh savings]]+Table1323[[#This Row],[Controls Rebate kWh Savings]]</calculatedColumnFormula>
    </tableColumn>
    <tableColumn id="30" xr3:uid="{147AC86F-681A-4181-B224-7D3180DD9F26}" name="Demand Savings, kW" dataDxfId="145">
      <calculatedColumnFormula>IFERROR(IF(Table1323[[#This Row],[Quantity of luminaires or lamps]]="","",Table1323[[#This Row],[Rebate kW Savings]]),0)</calculatedColumnFormula>
    </tableColumn>
    <tableColumn id="56" xr3:uid="{B40E2DC0-1C7D-4415-AD02-EEA34C6A91D8}" name="Energy Savings, kWh" dataDxfId="144">
      <calculatedColumnFormula>IFERROR(IF(Table1323[[#This Row],[Quantity of luminaires or lamps]]="","",Table1323[[#This Row],[Total Lighting Rebate Energy Savings]]),0)</calculatedColumnFormula>
    </tableColumn>
    <tableColumn id="11" xr3:uid="{AFC6B471-9343-4493-B177-ECF7D6EE87F4}" name="Notes" dataDxfId="143"/>
    <tableColumn id="8" xr3:uid="{CAC80393-5DD0-4CCD-998C-D4F1DCA42F0E}" name="Concatenate ECM and Part Number" dataDxfId="142">
      <calculatedColumnFormula>IF(Table1323[[#This Row],[Selected for Implementation]]="Yes",IF(Table1323[[#This Row],[No]]="","",(CONCATENATE("Light_"&amp;Table1323[[#This Row],[Rebate Category]]&amp;Table1323[[#This Row],[LED lamp/luminaire retrofit part '#]]))),"")</calculatedColumnFormula>
    </tableColumn>
    <tableColumn id="10" xr3:uid="{A13EC8A1-4B32-4830-91B1-56685150203D}" name="BCH Peak kW" dataDxfId="141">
      <calculatedColumnFormula array="1">IFERROR(IF(Table1323[[#This Row],[Annual hours from space type]]&gt;=Table14[],Table1323[[#This Row],[Demand Savings, kW]],0),0)</calculatedColumnFormula>
    </tableColumn>
    <tableColumn id="18" xr3:uid="{C637111D-2F88-4A98-9F7A-A5525227728C}" name="BC Hydro xRM ECM" dataDxfId="140">
      <calculatedColumnFormula>IFERROR(INDEX(Table1[BC Hydro xRM ECM],MATCH(Table1323[[#This Row],[Rebate Category]],Table1[BC Hydro Rebate Category],0)),"")</calculatedColumnFormula>
    </tableColumn>
    <tableColumn id="12" xr3:uid="{58966EA4-000C-43E8-93FE-E6BD70B02311}" name="Implement" dataDxfId="139">
      <calculatedColumnFormula>IF(Table1323[[#This Row],[Selected for Implementation]]="Yes",1,0)</calculatedColumnFormula>
    </tableColumn>
    <tableColumn id="13" xr3:uid="{3453620B-CABD-4913-B794-A7F53DE6C3A1}" name="iDemand Savings" dataDxfId="138">
      <calculatedColumnFormula>Table1323[[#This Row],[Implement]]*Table1323[[#This Row],[Demand Savings, kW]]</calculatedColumnFormula>
    </tableColumn>
    <tableColumn id="16" xr3:uid="{AAFD64CC-2FA4-470A-9AD9-6EC759A05C90}" name="iBCH Demand" dataDxfId="137">
      <calculatedColumnFormula>Table1323[[#This Row],[Implement]]*Table1323[[#This Row],[BCH Peak kW]]</calculatedColumnFormula>
    </tableColumn>
    <tableColumn id="19" xr3:uid="{6EEA6BE7-838A-4681-8E3F-D199C32ED8F8}" name=" iHardwired Energy Savings" dataDxfId="136">
      <calculatedColumnFormula>Table1323[[#This Row],[Implement]]*Table1323[[#This Row],[Rebate kWh savings]]</calculatedColumnFormula>
    </tableColumn>
    <tableColumn id="6" xr3:uid="{8AB54273-17F6-4565-8ADB-6110AFF458D3}" name="iControls Energy Savings" dataDxfId="135">
      <calculatedColumnFormula>Table1323[[#This Row],[Implement]]*Table1323[[#This Row],[Controls Rebate kWh Savings]]</calculatedColumnFormula>
    </tableColumn>
    <tableColumn id="7" xr3:uid="{4312AEAD-F2E1-46E6-902A-5318A347FDEE}" name="iControls Incentives" dataDxfId="134">
      <calculatedColumnFormula>Table1323[[#This Row],[Implement]]*Table1323[[#This Row],[Controls Rebate]]</calculatedColumnFormula>
    </tableColumn>
    <tableColumn id="20" xr3:uid="{829870E7-78C5-46BF-990E-471CE2FCFE58}" name="iNumber of Sensors" dataDxfId="133">
      <calculatedColumnFormula>IF(Table1323[[#This Row],[iControls Incentives]]&gt;0,Table1323[[#This Row],[Number of  sensors]],0)</calculatedColumnFormula>
    </tableColumn>
    <tableColumn id="22" xr3:uid="{A76429F1-63D4-40FC-B896-F25BA1F3E952}" name="iHardwired Incentives" dataDxfId="132">
      <calculatedColumnFormula>Table1323[[#This Row],[Implement]]*Table1323[[#This Row],[Lighting Rebate]]</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F7A7DC8-074B-479C-9692-9F599428B057}" name="NLTable" displayName="NLTable" ref="B7:BG57" totalsRowShown="0" headerRowDxfId="130" dataDxfId="129" tableBorderDxfId="128">
  <tableColumns count="58">
    <tableColumn id="1" xr3:uid="{4CFD5736-0578-4BCA-8F20-26B65D548CAC}" name="No" dataDxfId="127"/>
    <tableColumn id="15" xr3:uid="{12F4DDF8-AA55-4DAD-BA26-67819C05D053}" name="Selected for Implementation" dataDxfId="126" dataCellStyle="Normal 3"/>
    <tableColumn id="4" xr3:uid="{09E5CEFF-D1F0-4705-8B95-D132700DAFC9}" name="Baseline equipment energy source (or heating source for envelope measures)" dataDxfId="125"/>
    <tableColumn id="5" xr3:uid="{62201E06-11AF-4913-923E-41B835426279}" name="End-Use" dataDxfId="124"/>
    <tableColumn id="6" xr3:uid="{AD4DFC6C-FE85-4495-9EA9-C83CF2C191E9}" name="Measure Type (Energy Efficiency or Low Carbon Electrification)" dataDxfId="123">
      <calculatedColumnFormula>IF(ISBLANK(NLTable[[#This Row],[Baseline equipment energy source (or heating source for envelope measures)]]),"",IF(NLTable[[#This Row],[Baseline equipment energy source (or heating source for envelope measures)]]="Electricity", "EE", "LCE"))</calculatedColumnFormula>
    </tableColumn>
    <tableColumn id="7" xr3:uid="{8AAFBA26-2D0D-4FBF-AC45-8CA72D9131BB}" name="Energy Measure" dataDxfId="122"/>
    <tableColumn id="56" xr3:uid="{11B14717-095E-4859-AE6B-924F0FB1C306}" name="Unique Name" dataDxfId="121">
      <calculatedColumnFormula>NLTable[[#This Row],[Measure Type (Energy Efficiency or Low Carbon Electrification)]]&amp;"-"&amp;NLTable[[#This Row],[Energy Measure]]</calculatedColumnFormula>
    </tableColumn>
    <tableColumn id="8" xr3:uid="{C1F8C42B-B212-4BBB-991E-5E4F1E101518}" name="CalcMethod" dataDxfId="120"/>
    <tableColumn id="9" xr3:uid="{8786AB54-7715-4551-897E-69DDE9C3E939}" name="Rebate Unit" dataDxfId="119"/>
    <tableColumn id="11" xr3:uid="{FA7F59E8-B64E-40C1-92AD-1D91C0EF5C7B}" name="Index" dataDxfId="118"/>
    <tableColumn id="12" xr3:uid="{E1E9D53D-E770-4044-85E8-1CC9AF967E7D}" name="Baseline Variables" dataDxfId="117"/>
    <tableColumn id="14" xr3:uid="{68AF974A-1AB2-4667-9E28-15BE74558E73}" name="Baseline Values" dataDxfId="116"/>
    <tableColumn id="16" xr3:uid="{43CC84A2-ABAE-450D-9ADB-ABDF907E351F}" name="Retrofit Variables" dataDxfId="115"/>
    <tableColumn id="18" xr3:uid="{CA6F6692-0F58-44DB-AE7D-5139E98DDA92}" name="Retrofit Values" dataDxfId="114"/>
    <tableColumn id="19" xr3:uid="{1FABD3A3-E9A0-44DF-92E5-970C141A5611}" name="DHW" dataDxfId="113"/>
    <tableColumn id="20" xr3:uid="{A9386B7A-6049-4751-A396-FA11DCB9DC0C}" name="Envelope" dataDxfId="112"/>
    <tableColumn id="21" xr3:uid="{2B48D7DC-48B8-4E25-91C9-025B6358BB8D}" name="HVAC" dataDxfId="111"/>
    <tableColumn id="22" xr3:uid="{CFC6EB35-D687-4810-A0DF-098AD0845AAA}" name="Kitchen" dataDxfId="110"/>
    <tableColumn id="24" xr3:uid="{0C29FA56-E2D6-47E8-BF30-3FCC56C75740}" name="Mech" dataDxfId="109"/>
    <tableColumn id="25" xr3:uid="{38BB33A2-5EFB-4794-A4F8-0B2C55CD0ECA}" name="Refrig" dataDxfId="108"/>
    <tableColumn id="26" xr3:uid="{9598C57B-C336-45C1-BD65-05D188C2BF98}" name="DHW-kWh" dataDxfId="107">
      <calculatedColumnFormula>IF(#REF!="Mechanical - DHW",#REF!*365*65*8.34/3413/0.85*(1-1/#REF!),IF(#REF!="Mechanical",#REF!*#REF!*0.746*#REF!*0.2,""))</calculatedColumnFormula>
    </tableColumn>
    <tableColumn id="27" xr3:uid="{A12A389B-D87B-46F0-83C7-6DE1CF0418CD}" name="DHW-kW" dataDxfId="106">
      <calculatedColumnFormula>IF(NLTable[[#This Row],[CalcMethod]]="DHW",IF(NLTable[[#This Row],[Measure Type (Energy Efficiency or Low Carbon Electrification)]]="LCE",O10*-1,M10-O10),"")</calculatedColumnFormula>
    </tableColumn>
    <tableColumn id="28" xr3:uid="{FD4E25D4-EBAC-4C22-AB72-B9524C329312}" name="DHW-GJ" dataDxfId="105"/>
    <tableColumn id="29" xr3:uid="{8607FE95-513D-4776-B258-AEA731982685}" name="Env-kWH" dataDxfId="104"/>
    <tableColumn id="30" xr3:uid="{E0D29D2D-8B9A-44D4-8BC5-7F485B2C6D99}" name="Env-kW" dataDxfId="103"/>
    <tableColumn id="31" xr3:uid="{957BC449-76DD-4C1F-A4A9-3DA51B13F642}" name="Env-GJ" dataDxfId="102"/>
    <tableColumn id="32" xr3:uid="{6A825618-B81C-4089-877C-717F5CBAEFC1}" name="HVAC-kWH" dataDxfId="101">
      <calculatedColumnFormula>IF(OR(#REF!="HVAC",#REF!="HVAC-DT"),(#REF!+#REF!)-(#REF!+#REF!),"")</calculatedColumnFormula>
    </tableColumn>
    <tableColumn id="33" xr3:uid="{04B292D8-CA4D-45B2-865C-6BF910CF6D4B}" name="HVAC-kW" dataDxfId="100">
      <calculatedColumnFormula>IF(OR(#REF!="HVAC",#REF!="HVAC-DT"),#REF!-#REF!,"")</calculatedColumnFormula>
    </tableColumn>
    <tableColumn id="34" xr3:uid="{9AB96A6B-1848-448A-A0BB-7248D47EDDF1}" name="HVAC-GJ" dataDxfId="99">
      <calculatedColumnFormula>IF(OR(#REF!="HVAC",#REF!="HVAC-DT"),#REF!-#REF!,"")</calculatedColumnFormula>
    </tableColumn>
    <tableColumn id="35" xr3:uid="{EE8185BE-33B9-4A6D-A362-6AAE2DEC35B3}" name="CK-kWH" dataDxfId="98"/>
    <tableColumn id="36" xr3:uid="{8955BE73-A970-498F-A66E-A3989F77DB4A}" name="CK-kW" dataDxfId="97">
      <calculatedColumnFormula>IF(#REF!="Commercial Kitchen",(#REF!-#REF!)*#REF!,"")</calculatedColumnFormula>
    </tableColumn>
    <tableColumn id="37" xr3:uid="{FEFD71D4-FD8B-4B8F-9245-8BBC0D11588D}" name="CK-GJ" dataDxfId="96">
      <calculatedColumnFormula>IF(#REF!="Commercial Kitchen",(#REF!-#REF!)*#REF!,"")</calculatedColumnFormula>
    </tableColumn>
    <tableColumn id="41" xr3:uid="{1894E34D-73C3-4572-A005-559B096A9DEC}" name="Mech-kWh" dataDxfId="95">
      <calculatedColumnFormula>IF(#REF!="Mechanical - DHW",#REF!*365*65*8.34/3413/0.85*(1-1/#REF!),IF(#REF!="Mechanical",#REF!*#REF!*0.746*#REF!*0.2,""))</calculatedColumnFormula>
    </tableColumn>
    <tableColumn id="42" xr3:uid="{1518BA55-F066-4FC9-999D-D913CB08F09F}" name="Mech-kW" dataDxfId="94"/>
    <tableColumn id="43" xr3:uid="{663F77DA-B976-4241-A50B-ACF7361A21CF}" name="Mech-GJ" dataDxfId="93"/>
    <tableColumn id="44" xr3:uid="{9528F577-0F2F-4B6D-9095-DD3872666933}" name="Refg-kWh" dataDxfId="92"/>
    <tableColumn id="45" xr3:uid="{73AF0D07-11C6-4875-8AF6-FCE2CA8E6370}" name="Refg-kW" dataDxfId="91">
      <calculatedColumnFormula>IF(#REF!="Refrigeration",(#REF!-#REF!)*#REF!,"")</calculatedColumnFormula>
    </tableColumn>
    <tableColumn id="46" xr3:uid="{6C1CAB35-0722-438C-B662-035677EF4D89}" name="Refg-GJ" dataDxfId="90">
      <calculatedColumnFormula>IF(#REF!="Refrigeration",(#REF!-#REF!)*#REF!,"")</calculatedColumnFormula>
    </tableColumn>
    <tableColumn id="47" xr3:uid="{B68B8E53-437F-42B5-8937-43678F0BCE72}" name="Total Rebate" dataDxfId="89">
      <calculatedColumnFormula>SUM(NLTable[[#This Row],[DHW]:[Refrig]])</calculatedColumnFormula>
    </tableColumn>
    <tableColumn id="48" xr3:uid="{823ED9B3-DAE2-450F-94F2-2EFF4F303F5A}" name="Electric Savings, kWh/yr" dataDxfId="88">
      <calculatedColumnFormula>SUM(NLTable[[#This Row],[DHW-kWh]],NLTable[[#This Row],[Env-kWH]],NLTable[[#This Row],[HVAC-kWH]],NLTable[[#This Row],[CK-kWH]],#REF!,NLTable[[#This Row],[Mech-kWh]],NLTable[[#This Row],[Refg-kWh]])</calculatedColumnFormula>
    </tableColumn>
    <tableColumn id="50" xr3:uid="{91A46498-BA36-4DF4-80E7-CC09D5E731B2}" name="Peak Demand Savings, kW" dataDxfId="87">
      <calculatedColumnFormula>SUM(NLTable[[#This Row],[DHW-kW]],NLTable[[#This Row],[Env-kW]],NLTable[[#This Row],[HVAC-kW]],NLTable[[#This Row],[CK-kW]],#REF!,NLTable[[#This Row],[Mech-kW]],NLTable[[#This Row],[Refg-kW]])</calculatedColumnFormula>
    </tableColumn>
    <tableColumn id="10" xr3:uid="{1DD5A96D-BBC2-4B3E-B285-06A7609825CE}" name="Nat. Gas Savings, GJ/yr" dataDxfId="86">
      <calculatedColumnFormula>SUM(NLTable[[#This Row],[DHW-GJ]],NLTable[[#This Row],[Env-GJ]],NLTable[[#This Row],[HVAC-GJ]],NLTable[[#This Row],[CK-GJ]],#REF!,NLTable[[#This Row],[Mech-GJ]],NLTable[[#This Row],[Refg-GJ]])</calculatedColumnFormula>
    </tableColumn>
    <tableColumn id="51" xr3:uid="{8FDD9297-F098-484A-B7FA-02D995A4C2D9}" name="Est. Energy Cost Savings, $" dataDxfId="85">
      <calculatedColumnFormula>NLTable[[#This Row],[Electric Savings, kWh/yr]]*IF(LEFT(NLTable[[#This Row],[Energy Measure]],8)="In suite",sRate,NLeRate)+NLTable[[#This Row],[Peak Demand Savings, kW]]*IF(LEFT(NLTable[[#This Row],[Energy Measure]],8)="In suite",sDemand,NLeDemand)+NLTable[[#This Row],[Nat. Gas Savings, GJ/yr]]*NLgRate</calculatedColumnFormula>
    </tableColumn>
    <tableColumn id="52" xr3:uid="{D67B80DC-A1A9-40BA-88F7-BB9FE56F4422}" name="GHG Reduction, tCO2e/yr" dataDxfId="84">
      <calculatedColumnFormula>SUM(NLTable[[#This Row],[DHW-GJ]],NLTable[[#This Row],[Env-GJ]],NLTable[[#This Row],[HVAC-GJ]],NLTable[[#This Row],[CK-GJ]],#REF!,NLTable[[#This Row],[Mech-GJ]],NLTable[[#This Row],[Refg-GJ]])*50</calculatedColumnFormula>
    </tableColumn>
    <tableColumn id="53" xr3:uid="{C4E5F259-4212-4AFA-95DE-3EB39AE684E6}" name="Total Capital Cost, $" dataDxfId="83">
      <calculatedColumnFormula array="1">SUM(IF(N8:N12="Total Capital Cost ($)",O8:O12,0))</calculatedColumnFormula>
    </tableColumn>
    <tableColumn id="55" xr3:uid="{3BAE5B3C-E257-4750-89B6-55C18EB75B4E}" name="Simple Payback with Rebate" dataDxfId="82" dataCellStyle="Percent">
      <calculatedColumnFormula>IFERROR(NLTable[[#This Row],[Total Capital Cost, $]]/NLTable[[#This Row],[Est. Energy Cost Savings, $]],"")</calculatedColumnFormula>
    </tableColumn>
    <tableColumn id="39" xr3:uid="{BE49EF07-C1A8-4F6E-AD76-0BF7C0251D89}" name="Implement" dataDxfId="81" dataCellStyle="Normal 3">
      <calculatedColumnFormula>IF(NLTable[[#This Row],[Selected for Implementation]]="Yes",1,0)</calculatedColumnFormula>
    </tableColumn>
    <tableColumn id="40" xr3:uid="{50F8BD30-4995-4408-8213-9B039D67A81E}" name="Incentive" dataDxfId="80" dataCellStyle="Normal 3">
      <calculatedColumnFormula>NLTable[[#This Row],[Implement]]*NLTable[[#This Row],[Total Rebate]]</calculatedColumnFormula>
    </tableColumn>
    <tableColumn id="49" xr3:uid="{D524A429-5C16-48B6-9F1E-9E1CB5F9BC82}" name="Energy Savings" dataDxfId="79" dataCellStyle="Normal 3">
      <calculatedColumnFormula>NLTable[[#This Row],[Implement]]*NLTable[[#This Row],[Electric Savings, kWh/yr]]</calculatedColumnFormula>
    </tableColumn>
    <tableColumn id="54" xr3:uid="{36270ECA-27BB-4A77-B3D8-CE46F68301A2}" name="Demand Savings" dataDxfId="78" dataCellStyle="Normal 3">
      <calculatedColumnFormula>NLTable[[#This Row],[Implement]]*NLTable[[#This Row],[Peak Demand Savings, kW]]</calculatedColumnFormula>
    </tableColumn>
    <tableColumn id="60" xr3:uid="{84DD5B80-D843-4752-9CC4-A4FA12B56C3E}" name="Gas Savings" dataDxfId="77" dataCellStyle="Normal 3">
      <calculatedColumnFormula>NLTable[[#This Row],[Implement]]*NLTable[[#This Row],[Nat. Gas Savings, GJ/yr]]</calculatedColumnFormula>
    </tableColumn>
    <tableColumn id="57" xr3:uid="{4F112B04-167D-4EBB-B0E8-B5F0ED226C3D}" name="Cost Savings" dataDxfId="76" dataCellStyle="Normal 3">
      <calculatedColumnFormula>NLTable[[#This Row],[Implement]]*NLTable[[#This Row],[Est. Energy Cost Savings, $]]</calculatedColumnFormula>
    </tableColumn>
    <tableColumn id="58" xr3:uid="{276430B5-B506-4AA7-AA0C-3ACE828527B2}" name="GHG Reduction" dataDxfId="75" dataCellStyle="Normal 3">
      <calculatedColumnFormula>NLTable[[#This Row],[Implement]]*NLTable[[#This Row],[GHG Reduction, tCO2e/yr]]</calculatedColumnFormula>
    </tableColumn>
    <tableColumn id="13" xr3:uid="{92F0593D-AC7D-4DD3-AC96-70F646206849}" name="GHG Measure Life" dataDxfId="74" dataCellStyle="Normal 3">
      <calculatedColumnFormula>IFERROR(NLTable[[#This Row],[GHG Reduction]]*INDEX(NLIndexTable[Persistence],MATCH(NLTable[[#This Row],[Unique Name]],NLIndexTable[Unique Name],0)),0)</calculatedColumnFormula>
    </tableColumn>
    <tableColumn id="59" xr3:uid="{518DE395-6AC3-4A8A-A7B6-B7DD6C85DE6E}" name="Capital Cost" dataDxfId="73" dataCellStyle="Normal 3">
      <calculatedColumnFormula>NLTable[[#This Row],[Implement]]*NLTable[[#This Row],[Total Capital Cost, $]]</calculatedColumnFormula>
    </tableColumn>
    <tableColumn id="3" xr3:uid="{9A3F5041-7965-46F8-843B-BEEE31453184}" name="xRM Measure" dataDxfId="72" dataCellStyle="Normal 3"/>
    <tableColumn id="2" xr3:uid="{F623E35E-1E0A-4012-B6B2-C3AA9E60EB3D}" name="Concatenate" dataDxfId="71">
      <calculatedColumnFormula>IF(NLTable[[#This Row],[Selected for Implementation]]="Yes",IF(NLTable[[#This Row],[No]]="","",NLTable[[#This Row],[Unique Name]]),"")</calculatedColumnFormula>
    </tableColumn>
    <tableColumn id="17" xr3:uid="{1C541EB8-5EF4-44C0-A475-998D28409D5C}" name="Glazing sqft" dataDxfId="70" dataCellStyle="Normal 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3F8FC9-6D4C-4EBA-8D12-CCB279C43447}" name="NLBaselineParam" displayName="NLBaselineParam" ref="J2:X8" totalsRowShown="0" headerRowDxfId="69">
  <autoFilter ref="J2:X8" xr:uid="{00000000-0009-0000-0100-00000A000000}"/>
  <tableColumns count="15">
    <tableColumn id="1" xr3:uid="{DFAA6685-28B4-4198-8DAD-FE86716F85B6}" name="Var"/>
    <tableColumn id="3" xr3:uid="{BEAE3147-C041-4907-BB55-07CAF885307B}" name="Commercial Kitchen"/>
    <tableColumn id="13" xr3:uid="{1E6B1176-2BAF-4208-9703-8511B1E26F85}" name="HVAC-HP-Heads" dataCellStyle="Normal 3"/>
    <tableColumn id="4" xr3:uid="{9234947E-DA00-4E4B-BC25-8AB572E3F065}" name="HVAC-HP-Suite"/>
    <tableColumn id="15" xr3:uid="{91C37D87-2490-452C-AB7B-365AA1EFBE9C}" name="HVAC-HP-Tons" dataCellStyle="Normal 3"/>
    <tableColumn id="14" xr3:uid="{A8B66D96-C0BC-4C7A-9E38-EF77A4D80E18}" name="HVAC-PTHP" dataCellStyle="Normal 3"/>
    <tableColumn id="2" xr3:uid="{D1234F8B-CFC5-477F-8DF4-B85EFB17B7CA}" name="HVAC-MUA" dataCellStyle="Normal 3"/>
    <tableColumn id="8" xr3:uid="{D4887D33-A2CE-4B0E-AB7C-47D55BFD816D}" name="HVAC-HRV" dataDxfId="68"/>
    <tableColumn id="5" xr3:uid="{1ACDBEF8-E28B-4E3C-90FE-ABAA76B4C950}" name="Mechanical"/>
    <tableColumn id="7" xr3:uid="{3F9DE086-068E-48B3-B157-1F6CF436A796}" name="DHW"/>
    <tableColumn id="6" xr3:uid="{EF9EE11D-89D1-42C1-B300-71163140FCFB}" name="Refrigeration"/>
    <tableColumn id="9" xr3:uid="{C057E974-16D9-4979-8AF3-81F0FDC595BB}" name="Refrig-Cases"/>
    <tableColumn id="10" xr3:uid="{A982C898-9517-48E9-A699-81C41870634D}" name="Tstat"/>
    <tableColumn id="11" xr3:uid="{68453E16-0A1D-4692-86FA-123EC133AF30}" name="Envelope"/>
    <tableColumn id="12" xr3:uid="{94D4B9F0-3CA0-4617-8E3B-11138965CB92}" name="Windows"/>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503524F-5046-43AC-97C3-073C3DFE00D6}" name="NLProposedParam" displayName="NLProposedParam" ref="J10:X16" totalsRowShown="0" headerRowDxfId="67">
  <autoFilter ref="J10:X16" xr:uid="{00000000-0009-0000-0100-00000B000000}"/>
  <tableColumns count="15">
    <tableColumn id="1" xr3:uid="{93E545A0-65D1-48B0-8A8B-A1E10B444162}" name="Var"/>
    <tableColumn id="3" xr3:uid="{93520170-6CC2-4536-8D62-FEEBD46D826A}" name="Commercial Kitchen"/>
    <tableColumn id="13" xr3:uid="{6B55E98D-1361-4DDE-846F-B7225B75FC45}" name="HVAC-HP-Heads" dataCellStyle="Normal 3"/>
    <tableColumn id="4" xr3:uid="{BD8C9C56-4BBC-4E10-99C9-325E08643604}" name="HVAC-HP-Suite" dataDxfId="66"/>
    <tableColumn id="14" xr3:uid="{46199427-36AE-46D4-917D-EDC12E1B7A39}" name="HVAC-HP-Tons" dataDxfId="65" dataCellStyle="Normal 3"/>
    <tableColumn id="15" xr3:uid="{80A1008E-7032-4C06-889A-257277583599}" name="HVAC-PTHP" dataDxfId="64" dataCellStyle="Normal 3"/>
    <tableColumn id="2" xr3:uid="{FA5A709E-3F5C-4A3C-930B-869FFB7FB4C8}" name="HVAC-MUA" dataDxfId="63" dataCellStyle="Normal 3"/>
    <tableColumn id="8" xr3:uid="{E85F221A-BAFF-4058-BD97-1F32FCF87279}" name="HVAC-HRV" dataDxfId="62"/>
    <tableColumn id="5" xr3:uid="{81385450-A54E-47FE-80FB-F60166C8D22D}" name="Mechanical"/>
    <tableColumn id="7" xr3:uid="{4E87ED05-A0E7-4EC0-8ED6-67A0BC3AA56B}" name="DHW"/>
    <tableColumn id="6" xr3:uid="{1BE2EAB7-C7EA-45DA-B91C-F156256D5CA0}" name="Refrigeration"/>
    <tableColumn id="9" xr3:uid="{CC8E1CE6-2EAC-41ED-B2C5-5FD47D38BC0E}" name="Refrig-Cases"/>
    <tableColumn id="10" xr3:uid="{D7FC164F-57F4-4D97-9CA6-20CDAA3AC3D5}" name="Tstat"/>
    <tableColumn id="11" xr3:uid="{79F57DA9-3360-4911-A576-C360690EA42D}" name="Envelope"/>
    <tableColumn id="12" xr3:uid="{DAAA0D4F-CF5C-4F88-94E0-5AF55BF2426D}" name="Window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21E707B-7024-4FE4-ACC3-66E147EF0713}" name="NLEEMeasure" displayName="NLEEMeasure" ref="E3:H19" totalsRowShown="0" headerRowDxfId="61" dataDxfId="60" tableBorderDxfId="59">
  <autoFilter ref="E3:H19" xr:uid="{057AFFAA-6E38-4E5E-B216-14CB7DFF962F}"/>
  <tableColumns count="4">
    <tableColumn id="1" xr3:uid="{744C6D03-5498-4141-81AD-8FE7CE534436}" name="DHW" dataDxfId="58"/>
    <tableColumn id="2" xr3:uid="{C29C33D2-0C58-4B61-B300-D884581722D1}" name="Envelope" dataDxfId="57"/>
    <tableColumn id="3" xr3:uid="{D1D48FFE-99CF-4CF9-B1E9-C38F32DA7A6A}" name="HVAC" dataDxfId="56"/>
    <tableColumn id="4" xr3:uid="{D74F15E8-0D9D-426D-9693-4CCF020BA78D}" name="Mechanical" dataDxfId="55" dataCellStyle="Normal 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71A9C9-BA1D-4ED8-B809-8A993BD28E81}" name="NLLCEMeasures" displayName="NLLCEMeasures" ref="E22:F34" totalsRowShown="0" headerRowDxfId="54" dataDxfId="53">
  <autoFilter ref="E22:F34" xr:uid="{FA3F8FA4-8A9B-408D-9099-81F8D54C963B}"/>
  <tableColumns count="2">
    <tableColumn id="1" xr3:uid="{7B488731-C23A-496E-9878-DCC70A4BE00F}" name="DHW" dataDxfId="52"/>
    <tableColumn id="2" xr3:uid="{26161C08-D45E-450F-B5AA-B85D6937BCC7}" name="HVAC" dataDxfId="51" dataCellStyle="Normal 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1A4B813-05D4-45C0-8630-235537E3A220}" name="NLIndexTable" displayName="NLIndexTable" ref="A2:AF78" totalsRowShown="0" headerRowDxfId="50" dataDxfId="48" headerRowBorderDxfId="49" tableBorderDxfId="47" totalsRowBorderDxfId="46">
  <autoFilter ref="A2:AF78" xr:uid="{E1A4B813-05D4-45C0-8630-235537E3A220}">
    <filterColumn colId="4">
      <filters>
        <filter val="Y"/>
        <filter val="Y for all"/>
      </filters>
    </filterColumn>
  </autoFilter>
  <sortState xmlns:xlrd2="http://schemas.microsoft.com/office/spreadsheetml/2017/richdata2" ref="A3:V78">
    <sortCondition ref="A2:A78"/>
  </sortState>
  <tableColumns count="32">
    <tableColumn id="1" xr3:uid="{218EAE3F-809F-4770-B72C-60E29E3FDD40}" name="Category" dataDxfId="45"/>
    <tableColumn id="3" xr3:uid="{4E36D0AC-1877-47F2-8C3B-8F48E81B413C}" name="Type" dataDxfId="44"/>
    <tableColumn id="2" xr3:uid="{5F36DF39-4F73-48B0-8B93-8EF5BA081711}" name="Type-Category" dataDxfId="43" dataCellStyle="Normal 3">
      <calculatedColumnFormula>NLIndexTable[[#This Row],[Type]]&amp;"-"&amp;NLIndexTable[[#This Row],[Category]]</calculatedColumnFormula>
    </tableColumn>
    <tableColumn id="4" xr3:uid="{1DC58C88-B024-4B91-8376-07A438CBAE85}" name="BCH Rerofit Technology" dataDxfId="42"/>
    <tableColumn id="18" xr3:uid="{C94D9F90-7909-4D3A-908C-BA90E288E24E}" name="MURB Ph1" dataDxfId="41" dataCellStyle="Normal 3"/>
    <tableColumn id="19" xr3:uid="{5021D4D1-66C4-4304-A136-E0A195D28838}" name="MURB Ph2" dataDxfId="40" dataCellStyle="Normal 3"/>
    <tableColumn id="20" xr3:uid="{73308151-29F5-4FBC-BF88-C579049AE495}" name="SH" dataDxfId="39" dataCellStyle="Normal 3"/>
    <tableColumn id="5" xr3:uid="{AD41DF86-6839-4491-B129-DF64DB810724}" name="Unique Name" dataDxfId="38">
      <calculatedColumnFormula>"Mech_"&amp;NLIndexTable[[#This Row],[Type]]&amp;"-"&amp;NLIndexTable[[#This Row],[BCH Rerofit Technology]]</calculatedColumnFormula>
    </tableColumn>
    <tableColumn id="7" xr3:uid="{571E8CAC-EFD4-4C10-A09B-8FF259CC7EE3}" name="Equivalent xRM End Use" dataDxfId="37"/>
    <tableColumn id="8" xr3:uid="{493C7391-2C8F-4519-9B27-DD6E878FA626}" name="Equivalent xRM ECM" dataDxfId="36"/>
    <tableColumn id="9" xr3:uid="{CC9DFB69-12F7-4B2C-A97F-11963EB9965C}" name="Persistence" dataDxfId="35"/>
    <tableColumn id="10" xr3:uid="{525209D2-2A1B-4FB1-85DB-2DCADAB08087}" name="BC Hydro Rebate" dataDxfId="34"/>
    <tableColumn id="11" xr3:uid="{EB809835-918E-45D6-A9F3-B883375D1692}" name="BC Hydro pu" dataDxfId="33"/>
    <tableColumn id="12" xr3:uid="{0E04B645-442F-4ED0-9937-6561AA410AFF}" name="Incentive Metric" dataDxfId="32" dataCellStyle="Normal 3"/>
    <tableColumn id="26" xr3:uid="{93C11D7E-7D1A-4F8F-9740-B3EFAF5E483E}" name="Incentive Comments" dataDxfId="31"/>
    <tableColumn id="14" xr3:uid="{AD3C71C4-99F7-43C2-B1A7-40ACCC2D8ADE}" name="Baseline annual kWh" dataDxfId="30"/>
    <tableColumn id="15" xr3:uid="{81CDAFFA-3FB5-4E2F-B2BE-D196D9DB792B}" name="New annual kWh" dataDxfId="29"/>
    <tableColumn id="16" xr3:uid="{446ADB43-565B-4643-BD4E-714477FDDF6E}" name="Elec Savings kWh" dataDxfId="28"/>
    <tableColumn id="6" xr3:uid="{A0C042CC-B565-4C51-A60B-5B0A3269A0D8}" name="Gas Savings kWh" dataDxfId="27"/>
    <tableColumn id="25" xr3:uid="{673EEECF-8754-453A-BDBB-715C9A94394D}" name="kW Savings" dataDxfId="26"/>
    <tableColumn id="13" xr3:uid="{AC1B543C-EB89-4638-AC17-4DA8D8903B2F}" name="Calc. Metric" dataDxfId="25" dataCellStyle="Normal 3"/>
    <tableColumn id="24" xr3:uid="{2E41AF6C-DED9-473C-BD90-199E2B8F509E}" name="CalcMethod" dataDxfId="24"/>
    <tableColumn id="21" xr3:uid="{D6FCE58B-A746-4B23-81AD-A3EB0403FFD4}" name="Cost per Suite (1-50)" dataDxfId="23"/>
    <tableColumn id="22" xr3:uid="{A755929A-7072-40B1-8A71-E1B6D6423C3A}" name="Cost per Suite (50-150)" dataDxfId="22"/>
    <tableColumn id="23" xr3:uid="{05B94CAD-CB4F-4267-97A4-8C2AD7F39CA4}" name="Cost per Suite (150+)" dataDxfId="21"/>
    <tableColumn id="28" xr3:uid="{4256D243-77B6-40E3-8780-E8141E74FC98}" name="Incentive Units" dataDxfId="20" dataCellStyle="Normal 3"/>
    <tableColumn id="27" xr3:uid="{D0D0AE99-9D55-4F92-81E1-09C240A54B95}" name="Cost Per Unit" dataDxfId="19"/>
    <tableColumn id="29" xr3:uid="{9A9DF1A6-8201-41CB-BAA6-90F7BF7C7CAF}" name="Costing Notes" dataDxfId="18"/>
    <tableColumn id="31" xr3:uid="{74AE8064-B508-487E-95F7-E812055C5292}" name="Savings KWh/ft2" dataDxfId="17">
      <calculatedColumnFormula>NLIndexTable[[#This Row],[Elec Savings kWh]]/675*10.76</calculatedColumnFormula>
    </tableColumn>
    <tableColumn id="32" xr3:uid="{41CE0AC2-52ED-4DF0-A3A4-A3504A40BEDF}" name="Savings KWh per unit" dataDxfId="16">
      <calculatedColumnFormula>0.7457*(1-0.75^2.5)*8760</calculatedColumnFormula>
    </tableColumn>
    <tableColumn id="33" xr3:uid="{7F8AFAC6-F4E7-4645-BF1C-4C43786968BF}" name="$ savings/unit" dataDxfId="15">
      <calculatedColumnFormula>NLIndexTable[[#This Row],[Savings KWh per unit]]*AVERAGE(NLVar!$B$8:$B$9)</calculatedColumnFormula>
    </tableColumn>
    <tableColumn id="34" xr3:uid="{E580105C-7122-4CC0-A8FD-E83BED08D3C1}" name="SPB" dataDxfId="14">
      <calculatedColumnFormula>NLIndexTable[[#This Row],[Cost Per Unit]]/NLIndexTable[[#This Row],[$ savings/unit]]</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13F163-DEE3-4A66-971C-DE6CC34CFBE7}" name="Table1" displayName="Table1" ref="B1:J37" totalsRowShown="0" headerRowDxfId="13">
  <autoFilter ref="B1:J37" xr:uid="{6813F163-DEE3-4A66-971C-DE6CC34CFBE7}"/>
  <tableColumns count="9">
    <tableColumn id="2" xr3:uid="{A665BDBA-2A49-4855-A12E-510F02A86DE2}" name="BC Hydro Rebate Category" dataDxfId="12"/>
    <tableColumn id="3" xr3:uid="{224872A8-74B8-4338-80BE-782B60025D9C}" name="BC Hydro xRM ECM" dataDxfId="11"/>
    <tableColumn id="6" xr3:uid="{3F09BE21-6687-42E9-AD74-6939032C8A83}" name="Rebate"/>
    <tableColumn id="7" xr3:uid="{3C897B48-CA5F-4023-8CA7-1365AF25ED54}" name="Rebate Unit"/>
    <tableColumn id="8" xr3:uid="{804C6293-B1C5-4E8C-ADCF-55F303D28C36}" name="Artificial Baseline W" dataDxfId="10"/>
    <tableColumn id="9" xr3:uid="{EC97D8C9-9856-48B8-A7CA-4C8175B9B43B}" name="Retrofit W" dataDxfId="9"/>
    <tableColumn id="10" xr3:uid="{10C38F84-BB77-4E8C-8958-9637DBB9C4D8}" name="Rebate Savings" dataDxfId="8">
      <calculatedColumnFormula>Table1[[#This Row],[Artificial Baseline W]]-Table1[[#This Row],[Retrofit W]]</calculatedColumnFormula>
    </tableColumn>
    <tableColumn id="1" xr3:uid="{C70107D6-7488-4BC6-B5C5-8CF4706CE28F}" name="Integrated Controls Capable" dataDxfId="7"/>
    <tableColumn id="12" xr3:uid="{A1450951-6D12-4F13-AE72-B7577723ABDB}" name="Schedule B - Count" dataDxfId="6">
      <calculatedColumnFormula>COUNTIF(Table1323[Rebate Category],Table1[[#This Row],[BC Hydro Rebate Category]])</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D62882-26E0-401B-81FC-FE4EED253B22}" name="Table5" displayName="Table5" ref="A2:B12" totalsRowShown="0" headerRowDxfId="5" headerRowBorderDxfId="4" tableBorderDxfId="3" totalsRowBorderDxfId="2">
  <autoFilter ref="A2:B12" xr:uid="{87D62882-26E0-401B-81FC-FE4EED253B22}"/>
  <sortState xmlns:xlrd2="http://schemas.microsoft.com/office/spreadsheetml/2017/richdata2" ref="A3:B10">
    <sortCondition ref="A3:A10"/>
  </sortState>
  <tableColumns count="2">
    <tableColumn id="1" xr3:uid="{65D0C808-F9EE-4E35-8646-0B2A9FC9E67E}" name="Space Type" dataDxfId="1"/>
    <tableColumn id="2" xr3:uid="{B5D99922-D332-4CFF-A539-D8A77604EA1A}" name="Hours"/>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13C582-D2B7-4225-B003-FD8F904F650F}" name="Table3" displayName="Table3" ref="D2:D5" totalsRowShown="0">
  <autoFilter ref="D2:D5" xr:uid="{F013C582-D2B7-4225-B003-FD8F904F650F}"/>
  <tableColumns count="1">
    <tableColumn id="1" xr3:uid="{C1BC5E41-2536-447B-9B5B-9770C7C117D3}" name="Control Options"/>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95DD62-A2B1-4A70-B3BE-6F2C993D0C03}" name="Table6" displayName="Table6" ref="F2:F3" totalsRowShown="0">
  <autoFilter ref="F2:F3" xr:uid="{5B95DD62-A2B1-4A70-B3BE-6F2C993D0C03}"/>
  <tableColumns count="1">
    <tableColumn id="1" xr3:uid="{23E7514D-3CFC-4864-9CE2-5AA2B1010410}" name="Integrated Control Rebate"/>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B9E2225-E514-42E6-A67F-39DDA8B2DB1E}" name="Table11" displayName="Table11" ref="J2:J3" totalsRowShown="0" tableBorderDxfId="0">
  <autoFilter ref="J2:J3" xr:uid="{3B9E2225-E514-42E6-A67F-39DDA8B2DB1E}"/>
  <tableColumns count="1">
    <tableColumn id="1" xr3:uid="{5A31CEC9-0561-4E92-A0ED-4F6F044C6365}" name="Control Saving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8C38991-DD88-4B06-87CC-7180D2DD3F8C}" name="Table14" displayName="Table14" ref="L2:L3" totalsRowShown="0">
  <autoFilter ref="L2:L3" xr:uid="{F8C38991-DD88-4B06-87CC-7180D2DD3F8C}"/>
  <tableColumns count="1">
    <tableColumn id="1" xr3:uid="{71D2F89B-686F-4595-95E6-72A036375C1F}" name="BCH Peak Demand Hrs"/>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6E87A79-DE97-4D8C-B1BF-75CD85EEE521}" name="Table13" displayName="Table13" ref="H2:H3" totalsRowShown="0">
  <autoFilter ref="H2:H3" xr:uid="{A6E87A79-DE97-4D8C-B1BF-75CD85EEE521}"/>
  <tableColumns count="1">
    <tableColumn id="1" xr3:uid="{39854ECF-4588-4435-BB48-D3A9B6C31C7D}" name="Stand Alone Control Rebat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4" Type="http://schemas.openxmlformats.org/officeDocument/2006/relationships/vmlDrawing" Target="../drawings/vmlDrawing5.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vmlDrawing" Target="../drawings/vmlDrawing4.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1" Type="http://schemas.openxmlformats.org/officeDocument/2006/relationships/printerSettings" Target="../printerSettings/printerSettings8.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1.bin"/><Relationship Id="rId5" Type="http://schemas.openxmlformats.org/officeDocument/2006/relationships/table" Target="../tables/table6.xml"/><Relationship Id="rId4"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1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C63D5-4938-4CF9-B190-102AAA1718FB}">
  <sheetPr codeName="Sheet13">
    <tabColor theme="0"/>
    <pageSetUpPr fitToPage="1"/>
  </sheetPr>
  <dimension ref="A1:O266"/>
  <sheetViews>
    <sheetView showGridLines="0" tabSelected="1" zoomScale="85" zoomScaleNormal="85" workbookViewId="0">
      <selection activeCell="A7" sqref="A7:N7"/>
    </sheetView>
  </sheetViews>
  <sheetFormatPr defaultColWidth="0" defaultRowHeight="14.5" customHeight="1" zeroHeight="1" x14ac:dyDescent="0.35"/>
  <cols>
    <col min="1" max="1" width="5.54296875" style="329" customWidth="1"/>
    <col min="2" max="15" width="8.81640625" style="329" customWidth="1"/>
    <col min="16" max="16384" width="8.81640625" style="329" hidden="1"/>
  </cols>
  <sheetData>
    <row r="1" spans="1:15" ht="14.5" customHeight="1" x14ac:dyDescent="0.35"/>
    <row r="2" spans="1:15" ht="14.5" customHeight="1" x14ac:dyDescent="0.35"/>
    <row r="3" spans="1:15" ht="14.5" customHeight="1" x14ac:dyDescent="0.35"/>
    <row r="4" spans="1:15" ht="14.5" customHeight="1" x14ac:dyDescent="0.35"/>
    <row r="5" spans="1:15" ht="14.5" customHeight="1" x14ac:dyDescent="0.35"/>
    <row r="6" spans="1:15" x14ac:dyDescent="0.35"/>
    <row r="7" spans="1:15" ht="47.5" customHeight="1" x14ac:dyDescent="0.35">
      <c r="A7" s="620" t="s">
        <v>730</v>
      </c>
      <c r="B7" s="620"/>
      <c r="C7" s="620"/>
      <c r="D7" s="620"/>
      <c r="E7" s="620"/>
      <c r="F7" s="620"/>
      <c r="G7" s="620"/>
      <c r="H7" s="620"/>
      <c r="I7" s="620"/>
      <c r="J7" s="620"/>
      <c r="K7" s="620"/>
      <c r="L7" s="620"/>
      <c r="M7" s="620"/>
      <c r="N7" s="620"/>
      <c r="O7" s="541"/>
    </row>
    <row r="8" spans="1:15" ht="5.5" customHeight="1" x14ac:dyDescent="0.35"/>
    <row r="9" spans="1:15" ht="17.5" x14ac:dyDescent="0.35">
      <c r="A9" s="542"/>
      <c r="B9" s="621" t="s">
        <v>827</v>
      </c>
      <c r="C9" s="621"/>
      <c r="D9" s="621"/>
      <c r="E9" s="621"/>
      <c r="F9" s="621"/>
      <c r="G9" s="621"/>
      <c r="H9" s="621"/>
      <c r="I9" s="621"/>
      <c r="J9" s="621"/>
      <c r="K9" s="621"/>
      <c r="L9" s="621"/>
      <c r="M9" s="621"/>
      <c r="N9" s="621"/>
    </row>
    <row r="10" spans="1:15" ht="6" customHeight="1" x14ac:dyDescent="0.35"/>
    <row r="11" spans="1:15" x14ac:dyDescent="0.35"/>
    <row r="12" spans="1:15" x14ac:dyDescent="0.35"/>
    <row r="13" spans="1:15" x14ac:dyDescent="0.35"/>
    <row r="14" spans="1:15" x14ac:dyDescent="0.35"/>
    <row r="15" spans="1:15" x14ac:dyDescent="0.35"/>
    <row r="16" spans="1:15"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ht="14.5" customHeight="1" x14ac:dyDescent="0.35"/>
    <row r="184" ht="14.5" customHeight="1" x14ac:dyDescent="0.35"/>
    <row r="185" ht="14.5" customHeight="1" x14ac:dyDescent="0.35"/>
    <row r="186" ht="14.5" customHeight="1" x14ac:dyDescent="0.35"/>
    <row r="187" ht="14.5" customHeight="1" x14ac:dyDescent="0.35"/>
    <row r="188" ht="14.5" customHeight="1" x14ac:dyDescent="0.35"/>
    <row r="189" ht="14.5" customHeight="1" x14ac:dyDescent="0.35"/>
    <row r="190" ht="14.5" customHeight="1" x14ac:dyDescent="0.35"/>
    <row r="191" ht="14.5" customHeight="1" x14ac:dyDescent="0.35"/>
    <row r="192" ht="14.5" customHeight="1" x14ac:dyDescent="0.35"/>
    <row r="193" ht="14.5" customHeight="1" x14ac:dyDescent="0.35"/>
    <row r="194" ht="14.5" customHeight="1" x14ac:dyDescent="0.35"/>
    <row r="195" ht="14.5" customHeight="1" x14ac:dyDescent="0.35"/>
    <row r="196" ht="14.5" customHeight="1" x14ac:dyDescent="0.35"/>
    <row r="197" ht="14.5" customHeight="1" x14ac:dyDescent="0.35"/>
    <row r="198" ht="14.5" customHeight="1" x14ac:dyDescent="0.35"/>
    <row r="199" ht="14.5" customHeight="1" x14ac:dyDescent="0.35"/>
    <row r="200" ht="14.5" customHeight="1" x14ac:dyDescent="0.35"/>
    <row r="201" ht="14.5" customHeight="1" x14ac:dyDescent="0.35"/>
    <row r="202"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row r="227" ht="14.5" customHeight="1" x14ac:dyDescent="0.35"/>
    <row r="228" ht="14.5" customHeight="1" x14ac:dyDescent="0.35"/>
    <row r="229" ht="14.5" customHeight="1" x14ac:dyDescent="0.35"/>
    <row r="230" ht="14.5" customHeight="1" x14ac:dyDescent="0.35"/>
    <row r="231" ht="14.5" customHeight="1" x14ac:dyDescent="0.35"/>
    <row r="232" ht="14.5" customHeight="1" x14ac:dyDescent="0.35"/>
    <row r="233" ht="14.5" customHeight="1" x14ac:dyDescent="0.35"/>
    <row r="234" ht="14.5" customHeight="1" x14ac:dyDescent="0.35"/>
    <row r="235" ht="14.5" customHeight="1" x14ac:dyDescent="0.35"/>
    <row r="236" ht="14.5" customHeight="1" x14ac:dyDescent="0.35"/>
    <row r="237" ht="14.5" customHeight="1" x14ac:dyDescent="0.35"/>
    <row r="238" ht="14.5" customHeight="1" x14ac:dyDescent="0.35"/>
    <row r="239" ht="14.5" customHeight="1" x14ac:dyDescent="0.35"/>
    <row r="240"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row r="247" ht="14.5" customHeight="1" x14ac:dyDescent="0.35"/>
    <row r="248" ht="14.5" customHeight="1" x14ac:dyDescent="0.35"/>
    <row r="249" ht="14.5" customHeight="1" x14ac:dyDescent="0.35"/>
    <row r="250" ht="14.5" customHeight="1" x14ac:dyDescent="0.35"/>
    <row r="251" ht="14.5" customHeight="1" x14ac:dyDescent="0.35"/>
    <row r="252" ht="14.5" customHeight="1" x14ac:dyDescent="0.35"/>
    <row r="253" ht="14.5" customHeight="1" x14ac:dyDescent="0.35"/>
    <row r="254" ht="14.5" customHeight="1" x14ac:dyDescent="0.35"/>
    <row r="255" ht="14.5" customHeight="1" x14ac:dyDescent="0.35"/>
    <row r="256" ht="14.5" customHeight="1" x14ac:dyDescent="0.35"/>
    <row r="257" ht="14.5" customHeight="1" x14ac:dyDescent="0.35"/>
    <row r="258" ht="14.5" customHeight="1" x14ac:dyDescent="0.35"/>
    <row r="259" ht="14.5" customHeight="1" x14ac:dyDescent="0.35"/>
    <row r="260" ht="14.5" customHeight="1" x14ac:dyDescent="0.35"/>
    <row r="261" ht="14.5" customHeight="1" x14ac:dyDescent="0.35"/>
    <row r="262" ht="14.5" customHeight="1" x14ac:dyDescent="0.35"/>
    <row r="263" ht="14.5" customHeight="1" x14ac:dyDescent="0.35"/>
    <row r="264" ht="14.5" customHeight="1" x14ac:dyDescent="0.35"/>
    <row r="265" ht="14.5" customHeight="1" x14ac:dyDescent="0.35"/>
    <row r="266" ht="46" customHeight="1" x14ac:dyDescent="0.35"/>
  </sheetData>
  <sheetProtection algorithmName="SHA-512" hashValue="GohuP0UlcImjlfO6nDbCqMyWUOET3H95Ght2L1ko1j0OJgTzIcRPzNX59pcE99k0PLVTmAzYKh4UHh3fwJnfoA==" saltValue="T6AI64Q52jzY+7/Rq5ycxg==" spinCount="100000" sheet="1" objects="1" scenarios="1"/>
  <mergeCells count="2">
    <mergeCell ref="A7:N7"/>
    <mergeCell ref="B9:N9"/>
  </mergeCells>
  <pageMargins left="0.7" right="0.7" top="0.75" bottom="0.75" header="0.3" footer="0.3"/>
  <pageSetup scale="7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9DA9-7F9A-47CF-A21D-F23476CE9306}">
  <sheetPr codeName="Sheet1">
    <tabColor rgb="FF10A3CB"/>
    <pageSetUpPr autoPageBreaks="0" fitToPage="1"/>
  </sheetPr>
  <dimension ref="A1:AL333"/>
  <sheetViews>
    <sheetView showGridLines="0" zoomScaleNormal="100" workbookViewId="0">
      <selection activeCell="C4" sqref="C4:E4"/>
    </sheetView>
  </sheetViews>
  <sheetFormatPr defaultColWidth="0" defaultRowHeight="15.65" customHeight="1" zeroHeight="1" x14ac:dyDescent="0.35"/>
  <cols>
    <col min="1" max="1" width="5" style="248" customWidth="1"/>
    <col min="2" max="2" width="27.1796875" style="238" customWidth="1"/>
    <col min="3" max="3" width="26.1796875" style="238" customWidth="1"/>
    <col min="4" max="4" width="41.453125" style="238" customWidth="1"/>
    <col min="5" max="5" width="17.54296875" style="238" customWidth="1"/>
    <col min="6" max="6" width="13.453125" style="238" customWidth="1"/>
    <col min="7" max="7" width="9.54296875" style="238" customWidth="1"/>
    <col min="8" max="8" width="20" style="238" customWidth="1"/>
    <col min="9" max="9" width="9.54296875" style="238" customWidth="1"/>
    <col min="10" max="10" width="11.1796875" style="238" customWidth="1"/>
    <col min="11" max="11" width="9.54296875" style="238" customWidth="1"/>
    <col min="12" max="12" width="14.453125" style="238" customWidth="1"/>
    <col min="13" max="13" width="13.453125" style="238" customWidth="1"/>
    <col min="14" max="14" width="9.54296875" style="238" customWidth="1"/>
    <col min="15" max="15" width="10.1796875" style="238" customWidth="1"/>
    <col min="16" max="17" width="9.54296875" style="238" hidden="1" customWidth="1"/>
    <col min="18" max="18" width="8.1796875" style="238" hidden="1" customWidth="1"/>
    <col min="19" max="27" width="9.54296875" style="238" hidden="1" customWidth="1"/>
    <col min="28" max="38" width="11.54296875" style="238" hidden="1" customWidth="1"/>
    <col min="39" max="16384" width="35.1796875" style="238" hidden="1"/>
  </cols>
  <sheetData>
    <row r="1" spans="1:28" s="237" customFormat="1" ht="9" customHeight="1" x14ac:dyDescent="0.35">
      <c r="A1" s="236"/>
      <c r="B1" s="625"/>
      <c r="C1" s="625"/>
      <c r="D1" s="625"/>
      <c r="E1" s="625"/>
      <c r="F1" s="625"/>
    </row>
    <row r="2" spans="1:28" ht="18" x14ac:dyDescent="0.35">
      <c r="A2" s="238"/>
      <c r="B2" s="46" t="s">
        <v>402</v>
      </c>
      <c r="C2" s="331" t="s">
        <v>793</v>
      </c>
      <c r="D2" s="46"/>
      <c r="E2" s="46"/>
      <c r="F2" s="46"/>
      <c r="G2" s="46" t="s">
        <v>195</v>
      </c>
      <c r="P2" s="239" t="s">
        <v>196</v>
      </c>
      <c r="X2" s="240"/>
      <c r="Y2" s="240"/>
      <c r="Z2" s="240"/>
      <c r="AA2" s="240"/>
      <c r="AB2" s="240"/>
    </row>
    <row r="3" spans="1:28" ht="18" x14ac:dyDescent="0.35">
      <c r="A3" s="238"/>
      <c r="B3" s="46"/>
      <c r="C3" s="331" t="s">
        <v>806</v>
      </c>
      <c r="D3" s="46"/>
      <c r="E3" s="46"/>
      <c r="F3" s="46"/>
      <c r="G3" s="46"/>
      <c r="P3" s="239"/>
      <c r="X3" s="240"/>
      <c r="Y3" s="240"/>
      <c r="Z3" s="240"/>
      <c r="AA3" s="240"/>
      <c r="AB3" s="240"/>
    </row>
    <row r="4" spans="1:28" ht="22.5" customHeight="1" x14ac:dyDescent="0.3">
      <c r="A4" s="238"/>
      <c r="B4" s="241" t="s">
        <v>197</v>
      </c>
      <c r="C4" s="626"/>
      <c r="D4" s="627"/>
      <c r="E4" s="628"/>
      <c r="F4" s="242" t="s">
        <v>198</v>
      </c>
      <c r="X4" s="243"/>
      <c r="Y4" s="243"/>
      <c r="Z4" s="243"/>
      <c r="AA4" s="243"/>
      <c r="AB4" s="243"/>
    </row>
    <row r="5" spans="1:28" ht="10" customHeight="1" x14ac:dyDescent="0.35">
      <c r="A5" s="238"/>
      <c r="B5" s="244"/>
      <c r="C5" s="244"/>
      <c r="D5" s="244"/>
      <c r="E5" s="244"/>
      <c r="F5" s="245"/>
      <c r="X5" s="246"/>
      <c r="Y5" s="246"/>
      <c r="Z5" s="246"/>
      <c r="AA5" s="246"/>
      <c r="AB5" s="246"/>
    </row>
    <row r="6" spans="1:28" ht="22.5" customHeight="1" x14ac:dyDescent="0.3">
      <c r="A6" s="238"/>
      <c r="B6" s="241" t="s">
        <v>199</v>
      </c>
      <c r="C6" s="622"/>
      <c r="D6" s="623"/>
      <c r="E6" s="624"/>
      <c r="F6" s="242" t="s">
        <v>198</v>
      </c>
      <c r="X6" s="246"/>
      <c r="Y6" s="246"/>
      <c r="Z6" s="246"/>
      <c r="AA6" s="246"/>
      <c r="AB6" s="246"/>
    </row>
    <row r="7" spans="1:28" ht="10" customHeight="1" x14ac:dyDescent="0.3">
      <c r="A7" s="238"/>
      <c r="B7" s="241"/>
      <c r="C7" s="244"/>
      <c r="D7" s="244"/>
      <c r="E7" s="244"/>
      <c r="F7" s="244"/>
      <c r="X7" s="246"/>
      <c r="Y7" s="246"/>
      <c r="Z7" s="246"/>
      <c r="AA7" s="246"/>
      <c r="AB7" s="246"/>
    </row>
    <row r="8" spans="1:28" ht="22.5" customHeight="1" x14ac:dyDescent="0.3">
      <c r="A8" s="238"/>
      <c r="B8" s="247" t="s">
        <v>200</v>
      </c>
      <c r="C8" s="622"/>
      <c r="D8" s="623"/>
      <c r="E8" s="624"/>
      <c r="F8" s="242" t="s">
        <v>198</v>
      </c>
      <c r="X8" s="246"/>
      <c r="Y8" s="246"/>
      <c r="Z8" s="246"/>
      <c r="AA8" s="246"/>
      <c r="AB8" s="246"/>
    </row>
    <row r="9" spans="1:28" ht="22.5" customHeight="1" x14ac:dyDescent="0.35">
      <c r="A9" s="238"/>
      <c r="B9" s="244"/>
      <c r="C9" s="244"/>
      <c r="D9" s="244"/>
      <c r="E9" s="244"/>
      <c r="F9" s="242"/>
      <c r="X9" s="246"/>
      <c r="Y9" s="246"/>
      <c r="Z9" s="246"/>
      <c r="AA9" s="246"/>
      <c r="AB9" s="246"/>
    </row>
    <row r="10" spans="1:28" ht="22.5" customHeight="1" x14ac:dyDescent="0.3">
      <c r="A10" s="238"/>
      <c r="B10" s="247" t="s">
        <v>201</v>
      </c>
      <c r="C10" s="46"/>
      <c r="D10" s="46"/>
      <c r="E10" s="47"/>
      <c r="F10" s="242" t="s">
        <v>792</v>
      </c>
      <c r="H10" s="238" t="s">
        <v>202</v>
      </c>
    </row>
    <row r="11" spans="1:28" ht="6" customHeight="1" x14ac:dyDescent="0.3">
      <c r="A11" s="238"/>
      <c r="B11" s="247"/>
      <c r="C11" s="46"/>
      <c r="D11" s="46"/>
      <c r="E11" s="46"/>
      <c r="F11" s="46"/>
    </row>
    <row r="12" spans="1:28" ht="22.5" customHeight="1" x14ac:dyDescent="0.3">
      <c r="A12" s="238"/>
      <c r="B12" s="247" t="s">
        <v>203</v>
      </c>
      <c r="C12" s="46"/>
      <c r="E12" s="47"/>
      <c r="F12" s="242" t="s">
        <v>792</v>
      </c>
    </row>
    <row r="13" spans="1:28" ht="6" customHeight="1" x14ac:dyDescent="0.3">
      <c r="A13" s="238"/>
      <c r="B13" s="247"/>
      <c r="C13" s="46"/>
      <c r="D13" s="46"/>
      <c r="E13" s="46"/>
      <c r="F13" s="46"/>
    </row>
    <row r="14" spans="1:28" ht="22.5" customHeight="1" x14ac:dyDescent="0.3">
      <c r="A14" s="238"/>
      <c r="B14" s="247" t="s">
        <v>794</v>
      </c>
      <c r="C14" s="46"/>
      <c r="E14" s="47"/>
      <c r="F14" s="242" t="s">
        <v>198</v>
      </c>
    </row>
    <row r="15" spans="1:28" ht="6" customHeight="1" x14ac:dyDescent="0.3">
      <c r="A15" s="238"/>
      <c r="B15" s="247"/>
      <c r="C15" s="46"/>
      <c r="D15" s="46"/>
      <c r="E15" s="46"/>
      <c r="F15" s="46"/>
    </row>
    <row r="16" spans="1:28" ht="28" customHeight="1" x14ac:dyDescent="0.3">
      <c r="A16" s="238"/>
      <c r="B16" s="629" t="s">
        <v>428</v>
      </c>
      <c r="C16" s="629"/>
      <c r="D16" s="630"/>
      <c r="E16" s="549"/>
      <c r="F16" s="242" t="s">
        <v>792</v>
      </c>
    </row>
    <row r="17" spans="1:6" ht="6" customHeight="1" x14ac:dyDescent="0.3">
      <c r="A17" s="238"/>
      <c r="B17" s="247"/>
      <c r="C17" s="46"/>
      <c r="D17" s="46"/>
      <c r="E17" s="46"/>
      <c r="F17" s="46"/>
    </row>
    <row r="18" spans="1:6" ht="22.5" customHeight="1" x14ac:dyDescent="0.3">
      <c r="A18" s="238"/>
      <c r="B18" s="247" t="s">
        <v>206</v>
      </c>
      <c r="C18" s="46"/>
      <c r="E18" s="47"/>
      <c r="F18" s="242" t="s">
        <v>792</v>
      </c>
    </row>
    <row r="19" spans="1:6" ht="6" customHeight="1" x14ac:dyDescent="0.3">
      <c r="A19" s="238"/>
      <c r="B19" s="247"/>
      <c r="C19" s="46"/>
      <c r="D19" s="46"/>
      <c r="E19" s="46"/>
      <c r="F19" s="46"/>
    </row>
    <row r="20" spans="1:6" s="336" customFormat="1" ht="22.5" customHeight="1" x14ac:dyDescent="0.3">
      <c r="B20" s="337" t="s">
        <v>491</v>
      </c>
      <c r="C20" s="46"/>
      <c r="E20" s="47"/>
      <c r="F20" s="242" t="s">
        <v>792</v>
      </c>
    </row>
    <row r="21" spans="1:6" s="336" customFormat="1" ht="6" customHeight="1" x14ac:dyDescent="0.3">
      <c r="B21" s="337"/>
      <c r="C21" s="46"/>
      <c r="D21" s="46"/>
      <c r="E21" s="46"/>
      <c r="F21" s="46"/>
    </row>
    <row r="22" spans="1:6" ht="22.5" customHeight="1" x14ac:dyDescent="0.3">
      <c r="A22" s="238"/>
      <c r="B22" s="247" t="s">
        <v>204</v>
      </c>
      <c r="C22" s="46"/>
      <c r="E22" s="47"/>
      <c r="F22" s="242" t="s">
        <v>198</v>
      </c>
    </row>
    <row r="23" spans="1:6" ht="6" customHeight="1" x14ac:dyDescent="0.3">
      <c r="A23" s="238"/>
      <c r="B23" s="247"/>
      <c r="C23" s="46"/>
      <c r="D23" s="46"/>
      <c r="E23" s="46"/>
      <c r="F23" s="46"/>
    </row>
    <row r="24" spans="1:6" ht="22.5" customHeight="1" x14ac:dyDescent="0.3">
      <c r="A24" s="238"/>
      <c r="B24" s="247" t="s">
        <v>205</v>
      </c>
      <c r="C24" s="46"/>
      <c r="E24" s="47"/>
      <c r="F24" s="242" t="s">
        <v>792</v>
      </c>
    </row>
    <row r="25" spans="1:6" ht="6" customHeight="1" x14ac:dyDescent="0.3">
      <c r="A25" s="238"/>
      <c r="B25" s="247"/>
      <c r="C25" s="46"/>
      <c r="D25" s="46"/>
      <c r="E25" s="46"/>
      <c r="F25" s="46"/>
    </row>
    <row r="26" spans="1:6" ht="22.5" customHeight="1" x14ac:dyDescent="0.3">
      <c r="A26" s="238"/>
      <c r="B26" s="247" t="s">
        <v>802</v>
      </c>
      <c r="C26" s="46"/>
      <c r="E26" s="47"/>
      <c r="F26" s="242" t="s">
        <v>792</v>
      </c>
    </row>
    <row r="27" spans="1:6" ht="6" customHeight="1" x14ac:dyDescent="0.3">
      <c r="A27" s="238"/>
      <c r="B27" s="247"/>
      <c r="C27" s="46"/>
      <c r="D27" s="46"/>
      <c r="E27" s="46"/>
      <c r="F27" s="46"/>
    </row>
    <row r="28" spans="1:6" ht="22.5" customHeight="1" x14ac:dyDescent="0.3">
      <c r="A28" s="238"/>
      <c r="B28" s="247" t="s">
        <v>765</v>
      </c>
      <c r="C28" s="46"/>
      <c r="E28" s="47"/>
      <c r="F28" s="242" t="s">
        <v>792</v>
      </c>
    </row>
    <row r="29" spans="1:6" ht="6" customHeight="1" x14ac:dyDescent="0.3">
      <c r="A29" s="238"/>
      <c r="B29" s="247"/>
      <c r="C29" s="46"/>
      <c r="D29" s="46"/>
      <c r="E29" s="46"/>
      <c r="F29" s="46"/>
    </row>
    <row r="30" spans="1:6" ht="22.5" customHeight="1" x14ac:dyDescent="0.3">
      <c r="A30" s="238"/>
      <c r="B30" s="247" t="s">
        <v>803</v>
      </c>
      <c r="C30" s="46"/>
      <c r="E30" s="47"/>
      <c r="F30" s="242" t="s">
        <v>792</v>
      </c>
    </row>
    <row r="31" spans="1:6" ht="6" customHeight="1" x14ac:dyDescent="0.3">
      <c r="A31" s="238"/>
      <c r="B31" s="247"/>
      <c r="C31" s="46"/>
      <c r="D31" s="46"/>
      <c r="E31" s="46"/>
      <c r="F31" s="46"/>
    </row>
    <row r="32" spans="1:6" ht="22.5" customHeight="1" x14ac:dyDescent="0.3">
      <c r="A32" s="238"/>
      <c r="B32" s="247" t="s">
        <v>804</v>
      </c>
      <c r="C32" s="46"/>
      <c r="E32" s="47"/>
      <c r="F32" s="242" t="s">
        <v>792</v>
      </c>
    </row>
    <row r="33" spans="1:18" ht="6.65" customHeight="1" x14ac:dyDescent="0.3">
      <c r="A33" s="238"/>
      <c r="B33" s="247"/>
      <c r="C33" s="46"/>
      <c r="D33" s="46"/>
      <c r="E33" s="46"/>
      <c r="F33" s="46"/>
    </row>
    <row r="34" spans="1:18" ht="22.5" customHeight="1" x14ac:dyDescent="0.3">
      <c r="A34" s="238"/>
      <c r="B34" s="629" t="s">
        <v>689</v>
      </c>
      <c r="C34" s="629"/>
      <c r="D34" s="630"/>
      <c r="E34" s="47"/>
      <c r="F34" s="242" t="s">
        <v>792</v>
      </c>
    </row>
    <row r="35" spans="1:18" ht="22.5" customHeight="1" x14ac:dyDescent="0.3">
      <c r="A35" s="238"/>
      <c r="B35" s="241"/>
      <c r="C35" s="46"/>
      <c r="D35" s="46"/>
      <c r="E35" s="46"/>
      <c r="F35" s="46"/>
    </row>
    <row r="36" spans="1:18" ht="22.5" customHeight="1" x14ac:dyDescent="0.35">
      <c r="A36" s="238"/>
      <c r="B36" s="46" t="s">
        <v>207</v>
      </c>
      <c r="C36" s="46"/>
      <c r="D36" s="46"/>
      <c r="E36" s="46"/>
      <c r="F36" s="46"/>
    </row>
    <row r="37" spans="1:18" ht="15.5" x14ac:dyDescent="0.3">
      <c r="B37" s="247" t="s">
        <v>807</v>
      </c>
      <c r="Q37" s="249"/>
    </row>
    <row r="38" spans="1:18" ht="15.5" x14ac:dyDescent="0.3">
      <c r="B38" s="247"/>
      <c r="Q38" s="249"/>
    </row>
    <row r="39" spans="1:18" ht="15.5" x14ac:dyDescent="0.3">
      <c r="B39" s="250" t="s">
        <v>214</v>
      </c>
      <c r="C39" s="251" t="s">
        <v>215</v>
      </c>
      <c r="D39" s="242"/>
      <c r="Q39" s="249"/>
    </row>
    <row r="40" spans="1:18" ht="15.5" x14ac:dyDescent="0.35">
      <c r="B40" s="252" t="s">
        <v>218</v>
      </c>
      <c r="C40" s="492"/>
      <c r="Q40" s="249"/>
      <c r="R40" s="254"/>
    </row>
    <row r="41" spans="1:18" ht="15.5" x14ac:dyDescent="0.35">
      <c r="B41" s="252" t="s">
        <v>221</v>
      </c>
      <c r="C41" s="492"/>
      <c r="Q41" s="249"/>
      <c r="R41" s="254"/>
    </row>
    <row r="42" spans="1:18" ht="15.5" x14ac:dyDescent="0.35">
      <c r="B42" s="252" t="s">
        <v>223</v>
      </c>
      <c r="C42" s="492"/>
      <c r="Q42" s="249"/>
      <c r="R42" s="254"/>
    </row>
    <row r="43" spans="1:18" ht="15.5" x14ac:dyDescent="0.35">
      <c r="B43" s="252" t="s">
        <v>225</v>
      </c>
      <c r="C43" s="492"/>
      <c r="Q43" s="249"/>
    </row>
    <row r="44" spans="1:18" ht="15.5" x14ac:dyDescent="0.35">
      <c r="B44" s="252" t="s">
        <v>229</v>
      </c>
      <c r="C44" s="492"/>
      <c r="Q44" s="249"/>
      <c r="R44" s="254"/>
    </row>
    <row r="45" spans="1:18" ht="15.5" x14ac:dyDescent="0.35">
      <c r="B45" s="252" t="s">
        <v>230</v>
      </c>
      <c r="C45" s="492"/>
      <c r="Q45" s="249"/>
    </row>
    <row r="46" spans="1:18" ht="15.5" x14ac:dyDescent="0.35">
      <c r="B46" s="252" t="s">
        <v>232</v>
      </c>
      <c r="C46" s="492"/>
      <c r="P46" s="255"/>
      <c r="Q46" s="249"/>
    </row>
    <row r="47" spans="1:18" ht="15.5" x14ac:dyDescent="0.35">
      <c r="B47" s="252" t="s">
        <v>235</v>
      </c>
      <c r="C47" s="492"/>
      <c r="P47" s="255"/>
      <c r="Q47" s="249"/>
    </row>
    <row r="48" spans="1:18" ht="15.5" x14ac:dyDescent="0.35">
      <c r="B48" s="252" t="s">
        <v>237</v>
      </c>
      <c r="C48" s="492"/>
      <c r="Q48" s="249"/>
    </row>
    <row r="49" spans="1:28" ht="15.5" x14ac:dyDescent="0.35">
      <c r="B49" s="252" t="s">
        <v>240</v>
      </c>
      <c r="C49" s="492"/>
      <c r="Q49" s="249"/>
      <c r="R49" s="254"/>
    </row>
    <row r="50" spans="1:28" ht="15.5" x14ac:dyDescent="0.35">
      <c r="B50" s="252" t="s">
        <v>241</v>
      </c>
      <c r="C50" s="492"/>
      <c r="Q50" s="249"/>
      <c r="R50" s="254"/>
    </row>
    <row r="51" spans="1:28" ht="15.5" x14ac:dyDescent="0.35">
      <c r="B51" s="252" t="s">
        <v>242</v>
      </c>
      <c r="C51" s="492"/>
      <c r="Q51" s="249"/>
    </row>
    <row r="52" spans="1:28" ht="15.5" x14ac:dyDescent="0.35">
      <c r="B52" s="256" t="s">
        <v>51</v>
      </c>
      <c r="C52" s="446">
        <f>SUM(C40:C51)</f>
        <v>0</v>
      </c>
      <c r="R52" s="254"/>
    </row>
    <row r="53" spans="1:28" ht="15.5" x14ac:dyDescent="0.3">
      <c r="B53" s="247"/>
      <c r="R53" s="254"/>
    </row>
    <row r="54" spans="1:28" ht="18" x14ac:dyDescent="0.35">
      <c r="B54" s="46" t="s">
        <v>194</v>
      </c>
      <c r="R54" s="254"/>
    </row>
    <row r="55" spans="1:28" ht="22.5" customHeight="1" x14ac:dyDescent="0.3">
      <c r="A55" s="238"/>
      <c r="B55" s="241" t="s">
        <v>401</v>
      </c>
      <c r="C55" s="622"/>
      <c r="D55" s="623"/>
      <c r="E55" s="624"/>
      <c r="F55" s="242" t="s">
        <v>198</v>
      </c>
      <c r="X55" s="243"/>
      <c r="Y55" s="243"/>
      <c r="Z55" s="243"/>
      <c r="AA55" s="243"/>
      <c r="AB55" s="243"/>
    </row>
    <row r="56" spans="1:28" ht="10" customHeight="1" x14ac:dyDescent="0.35">
      <c r="A56" s="238"/>
      <c r="B56" s="244"/>
      <c r="C56" s="244"/>
      <c r="D56" s="244"/>
      <c r="E56" s="244"/>
      <c r="F56" s="245"/>
      <c r="X56" s="246"/>
      <c r="Y56" s="246"/>
      <c r="Z56" s="246"/>
      <c r="AA56" s="246"/>
      <c r="AB56" s="246"/>
    </row>
    <row r="57" spans="1:28" ht="22.5" customHeight="1" x14ac:dyDescent="0.3">
      <c r="A57" s="238"/>
      <c r="B57" s="241" t="s">
        <v>427</v>
      </c>
      <c r="C57" s="622"/>
      <c r="D57" s="623"/>
      <c r="E57" s="624"/>
      <c r="F57" s="242" t="s">
        <v>198</v>
      </c>
      <c r="X57" s="243"/>
      <c r="Y57" s="243"/>
      <c r="Z57" s="243"/>
      <c r="AA57" s="243"/>
      <c r="AB57" s="243"/>
    </row>
    <row r="58" spans="1:28" ht="10" customHeight="1" x14ac:dyDescent="0.35">
      <c r="A58" s="238"/>
      <c r="B58" s="244"/>
      <c r="C58" s="244"/>
      <c r="D58" s="244"/>
      <c r="E58" s="244"/>
      <c r="F58" s="245"/>
      <c r="X58" s="246"/>
      <c r="Y58" s="246"/>
      <c r="Z58" s="246"/>
      <c r="AA58" s="246"/>
      <c r="AB58" s="246"/>
    </row>
    <row r="59" spans="1:28" ht="22.5" customHeight="1" x14ac:dyDescent="0.3">
      <c r="A59" s="238"/>
      <c r="B59" s="241" t="s">
        <v>383</v>
      </c>
      <c r="C59" s="622"/>
      <c r="D59" s="623"/>
      <c r="E59" s="624"/>
      <c r="F59" s="330" t="s">
        <v>426</v>
      </c>
      <c r="X59" s="243"/>
      <c r="Y59" s="243"/>
      <c r="Z59" s="243"/>
      <c r="AA59" s="243"/>
      <c r="AB59" s="243"/>
    </row>
    <row r="60" spans="1:28" ht="22.5" customHeight="1" x14ac:dyDescent="0.3">
      <c r="A60" s="238"/>
      <c r="B60" s="241"/>
      <c r="C60" s="622"/>
      <c r="D60" s="623"/>
      <c r="E60" s="624"/>
      <c r="F60" s="257"/>
      <c r="X60" s="243"/>
      <c r="Y60" s="243"/>
      <c r="Z60" s="243"/>
      <c r="AA60" s="243"/>
      <c r="AB60" s="243"/>
    </row>
    <row r="61" spans="1:28" ht="22.5" customHeight="1" x14ac:dyDescent="0.3">
      <c r="A61" s="238"/>
      <c r="B61" s="241"/>
      <c r="C61" s="622"/>
      <c r="D61" s="623"/>
      <c r="E61" s="624"/>
      <c r="F61" s="257"/>
      <c r="X61" s="243"/>
      <c r="Y61" s="243"/>
      <c r="Z61" s="243"/>
      <c r="AA61" s="243"/>
      <c r="AB61" s="243"/>
    </row>
    <row r="62" spans="1:28" ht="10" customHeight="1" x14ac:dyDescent="0.35">
      <c r="A62" s="238"/>
      <c r="B62" s="244"/>
      <c r="C62" s="244"/>
      <c r="D62" s="244"/>
      <c r="E62" s="244"/>
      <c r="F62" s="245"/>
      <c r="X62" s="246"/>
      <c r="Y62" s="246"/>
      <c r="Z62" s="246"/>
      <c r="AA62" s="246"/>
      <c r="AB62" s="246"/>
    </row>
    <row r="63" spans="1:28" ht="22.5" customHeight="1" x14ac:dyDescent="0.3">
      <c r="A63" s="238"/>
      <c r="B63" s="241" t="s">
        <v>691</v>
      </c>
      <c r="C63" s="543"/>
      <c r="D63" s="242" t="s">
        <v>198</v>
      </c>
      <c r="E63" s="257"/>
      <c r="F63" s="257"/>
      <c r="X63" s="243"/>
      <c r="Y63" s="243"/>
      <c r="Z63" s="243"/>
      <c r="AA63" s="243"/>
      <c r="AB63" s="243"/>
    </row>
    <row r="64" spans="1:28" ht="10" customHeight="1" x14ac:dyDescent="0.35">
      <c r="A64" s="238"/>
      <c r="B64" s="244"/>
      <c r="C64" s="244"/>
      <c r="D64" s="244"/>
      <c r="E64" s="244"/>
      <c r="F64" s="245"/>
      <c r="X64" s="246"/>
      <c r="Y64" s="246"/>
      <c r="Z64" s="246"/>
      <c r="AA64" s="246"/>
      <c r="AB64" s="246"/>
    </row>
    <row r="65" spans="1:28" ht="22.5" customHeight="1" x14ac:dyDescent="0.3">
      <c r="A65" s="238"/>
      <c r="B65" s="241" t="s">
        <v>367</v>
      </c>
      <c r="C65" s="294"/>
      <c r="D65" s="242" t="s">
        <v>198</v>
      </c>
      <c r="E65" s="257"/>
      <c r="F65" s="257"/>
      <c r="X65" s="243"/>
      <c r="Y65" s="243"/>
      <c r="Z65" s="243"/>
      <c r="AA65" s="243"/>
      <c r="AB65" s="243"/>
    </row>
    <row r="66" spans="1:28" ht="17.149999999999999" customHeight="1" x14ac:dyDescent="0.3">
      <c r="B66" s="247"/>
    </row>
    <row r="67" spans="1:28" ht="17.149999999999999" customHeight="1" x14ac:dyDescent="0.3">
      <c r="B67" s="247"/>
    </row>
    <row r="68" spans="1:28" ht="17.149999999999999" hidden="1" customHeight="1" x14ac:dyDescent="0.3">
      <c r="B68" s="258" t="s">
        <v>405</v>
      </c>
    </row>
    <row r="69" spans="1:28" ht="17.149999999999999" hidden="1" customHeight="1" x14ac:dyDescent="0.25">
      <c r="B69" s="259" t="s">
        <v>451</v>
      </c>
      <c r="C69" s="260" t="e">
        <f>E16/(E18+E20)</f>
        <v>#DIV/0!</v>
      </c>
    </row>
    <row r="70" spans="1:28" ht="15.5" hidden="1" x14ac:dyDescent="0.35">
      <c r="B70" s="259" t="s">
        <v>208</v>
      </c>
      <c r="C70" s="261" t="str">
        <f>IF(E14&gt;4, "High-rise","Low-rise")</f>
        <v>Low-rise</v>
      </c>
    </row>
    <row r="71" spans="1:28" ht="15.5" hidden="1" x14ac:dyDescent="0.25">
      <c r="B71" s="262" t="s">
        <v>209</v>
      </c>
      <c r="C71" s="262">
        <v>15</v>
      </c>
      <c r="D71" s="263" t="s">
        <v>210</v>
      </c>
    </row>
    <row r="72" spans="1:28" ht="15.5" hidden="1" x14ac:dyDescent="0.25">
      <c r="B72" s="263" t="s">
        <v>212</v>
      </c>
      <c r="C72" s="263">
        <v>3.5</v>
      </c>
      <c r="D72" s="263" t="s">
        <v>210</v>
      </c>
    </row>
    <row r="73" spans="1:28" ht="15.5" hidden="1" x14ac:dyDescent="0.25">
      <c r="B73" s="263" t="s">
        <v>671</v>
      </c>
      <c r="C73" s="266" t="e">
        <f>12*($C$69/675)*0.7</f>
        <v>#DIV/0!</v>
      </c>
      <c r="D73" s="238" t="s">
        <v>216</v>
      </c>
    </row>
    <row r="74" spans="1:28" ht="15.5" hidden="1" x14ac:dyDescent="0.25">
      <c r="B74" s="263" t="s">
        <v>671</v>
      </c>
      <c r="C74" s="266" t="e">
        <f>12*($C$69/675)*0.7</f>
        <v>#DIV/0!</v>
      </c>
      <c r="D74" s="238" t="s">
        <v>219</v>
      </c>
    </row>
    <row r="75" spans="1:28" ht="15.5" hidden="1" x14ac:dyDescent="0.35">
      <c r="B75" s="264" t="s">
        <v>599</v>
      </c>
      <c r="C75" s="268" t="e">
        <f>C69/675*3.75*E18</f>
        <v>#DIV/0!</v>
      </c>
      <c r="D75" s="238" t="s">
        <v>767</v>
      </c>
      <c r="E75" s="565" t="e">
        <f>C69/675*3.75</f>
        <v>#DIV/0!</v>
      </c>
      <c r="F75" s="238" t="s">
        <v>766</v>
      </c>
    </row>
    <row r="76" spans="1:28" ht="15.5" hidden="1" x14ac:dyDescent="0.35">
      <c r="B76" s="264" t="s">
        <v>224</v>
      </c>
      <c r="C76" s="828" t="e">
        <f>(C75*C72+C71*E16/10.79/100)</f>
        <v>#DIV/0!</v>
      </c>
    </row>
    <row r="77" spans="1:28" ht="15.5" hidden="1" x14ac:dyDescent="0.35">
      <c r="B77" s="264" t="s">
        <v>226</v>
      </c>
      <c r="C77" s="269" t="e">
        <f>IF(C70="High-rise",LOOKUP(E10,B130:B134,N130:N134)*E16/277.78,LOOKUP(E10,B130:B134,G130:G134)*E16/277.78)</f>
        <v>#N/A</v>
      </c>
      <c r="D77" s="548" t="e">
        <f>LOOKUP(E10,B130:B134,G130:G134)</f>
        <v>#N/A</v>
      </c>
      <c r="E77" s="238" t="s">
        <v>693</v>
      </c>
    </row>
    <row r="78" spans="1:28" ht="18" hidden="1" x14ac:dyDescent="0.5">
      <c r="J78" s="545" t="s">
        <v>826</v>
      </c>
    </row>
    <row r="79" spans="1:28" ht="15.5" hidden="1" x14ac:dyDescent="0.35">
      <c r="B79" s="271" t="s">
        <v>231</v>
      </c>
      <c r="C79" s="264" t="s">
        <v>154</v>
      </c>
      <c r="D79" s="264" t="s">
        <v>434</v>
      </c>
      <c r="E79" s="264" t="s">
        <v>435</v>
      </c>
      <c r="F79" s="264" t="s">
        <v>760</v>
      </c>
      <c r="J79" s="264"/>
      <c r="K79" s="264" t="s">
        <v>823</v>
      </c>
      <c r="L79" s="264" t="s">
        <v>824</v>
      </c>
      <c r="M79" s="264" t="s">
        <v>822</v>
      </c>
    </row>
    <row r="80" spans="1:28" ht="15.5" hidden="1" x14ac:dyDescent="0.35">
      <c r="B80" s="273" t="s">
        <v>233</v>
      </c>
      <c r="C80" s="264">
        <f>E32</f>
        <v>0</v>
      </c>
      <c r="D80" s="274" t="e">
        <f>(C77-D81)*(1+LOOKUP(E12,B140:B144,F140:F144))</f>
        <v>#N/A</v>
      </c>
      <c r="E80" s="265">
        <f>IF(AND(C80="natural gas",C82="natural gas"),C52*0.68-E81-E82,IF(C80="natural gas",C52*0.68-E81,0))</f>
        <v>0</v>
      </c>
      <c r="F80" s="265">
        <f>E80/0.68</f>
        <v>0</v>
      </c>
      <c r="G80" s="546" t="e">
        <f>IF(G88="Y",D80,IF(AND(D87="Y",C80="natural gas"),E80,D80))</f>
        <v>#N/A</v>
      </c>
      <c r="J80" s="264" t="s">
        <v>820</v>
      </c>
      <c r="K80" s="265" t="e">
        <f>D91*E16/277.78</f>
        <v>#N/A</v>
      </c>
      <c r="L80" s="265">
        <f>IF(C80="electricity",K80,0)</f>
        <v>0</v>
      </c>
      <c r="M80" s="265">
        <f>IF(C80="natural gas",K80/0.68,0)</f>
        <v>0</v>
      </c>
    </row>
    <row r="81" spans="2:13" ht="15.5" hidden="1" x14ac:dyDescent="0.35">
      <c r="B81" s="271" t="s">
        <v>236</v>
      </c>
      <c r="C81" s="264">
        <f>IF(E28="N",C80,E30)</f>
        <v>0</v>
      </c>
      <c r="D81" s="274" t="e">
        <f>LOOKUP(E10,B130:B134,C130:C134)*C76*0.00121*24/277.78</f>
        <v>#N/A</v>
      </c>
      <c r="E81" s="265" t="e">
        <f>IF(AND(C81="natural gas",C80="electricity",C82="electricity"),C52*0.68,IF(C81="electricity",0,IF(AND(C80="electricity",C82="natural gas"),C52*0.68-E82,D81)))</f>
        <v>#N/A</v>
      </c>
      <c r="F81" s="265" t="e">
        <f>E81/0.68</f>
        <v>#N/A</v>
      </c>
      <c r="G81" s="546" t="e">
        <f>IF(G88="Y",D81,IF(AND(D87="Y",C81="natural gas"),IF(E33="Y",D81,E81),D81))</f>
        <v>#N/A</v>
      </c>
      <c r="J81" s="264" t="s">
        <v>821</v>
      </c>
      <c r="K81" s="265" t="e">
        <f>D92*E16/277.78</f>
        <v>#N/A</v>
      </c>
      <c r="L81" s="265">
        <f>IF(C81="electricity",K81,0)</f>
        <v>0</v>
      </c>
      <c r="M81" s="265">
        <f>IF(C81="natural gas",K81/0.68,0)</f>
        <v>0</v>
      </c>
    </row>
    <row r="82" spans="2:13" ht="15.5" hidden="1" x14ac:dyDescent="0.35">
      <c r="B82" s="271" t="s">
        <v>238</v>
      </c>
      <c r="C82" s="264">
        <f>E26</f>
        <v>0</v>
      </c>
      <c r="D82" s="274" t="e">
        <f>C73*E18</f>
        <v>#DIV/0!</v>
      </c>
      <c r="E82" s="265" cm="1">
        <f t="array" ref="E82">IF(AND(C80="electricity",C81="electricity"),C52*0.68,IF(C82="natural gas",AVERAGE(SMALL(C40:C51,{1,2}+COUNTIF(C40:C51,0)))*12*0.68,0))</f>
        <v>0</v>
      </c>
      <c r="F82" s="265">
        <f>E82/0.68</f>
        <v>0</v>
      </c>
      <c r="G82" s="546" t="e">
        <f>IF(G88="Y",D82,IF(AND(D87="Y",C82="natural gas"),IF(E34="Y",D82,E82),D82))</f>
        <v>#DIV/0!</v>
      </c>
      <c r="J82" s="264" t="s">
        <v>71</v>
      </c>
      <c r="K82" s="265" t="e">
        <f>C93</f>
        <v>#DIV/0!</v>
      </c>
      <c r="L82" s="265">
        <f>IF(C82="electricity",K82,0)</f>
        <v>0</v>
      </c>
      <c r="M82" s="265">
        <f>IF(C82="natural gas",K82/0.68,0)</f>
        <v>0</v>
      </c>
    </row>
    <row r="83" spans="2:13" ht="15.5" hidden="1" x14ac:dyDescent="0.35">
      <c r="B83" s="271"/>
      <c r="C83" s="264"/>
      <c r="D83" s="274"/>
      <c r="E83" s="265"/>
      <c r="F83" s="265"/>
      <c r="J83" s="264" t="s">
        <v>825</v>
      </c>
      <c r="K83" s="616"/>
      <c r="L83" s="616"/>
      <c r="M83" s="265">
        <f>C52-SUM(M80:M82)</f>
        <v>0</v>
      </c>
    </row>
    <row r="84" spans="2:13" ht="15.5" hidden="1" x14ac:dyDescent="0.35">
      <c r="G84" s="282">
        <f>SUMIF(C80:C82,"natural gas",G80:G82)/0.68</f>
        <v>0</v>
      </c>
      <c r="M84" s="282">
        <f>SUM(M80:M83)</f>
        <v>0</v>
      </c>
    </row>
    <row r="85" spans="2:13" ht="15.5" hidden="1" x14ac:dyDescent="0.35">
      <c r="D85" s="238">
        <f>IF(C52&lt;&gt;0,IF(G84&gt;C52,C52/G84,1),1)</f>
        <v>1</v>
      </c>
      <c r="E85" s="238" t="s">
        <v>692</v>
      </c>
    </row>
    <row r="86" spans="2:13" ht="15.5" hidden="1" x14ac:dyDescent="0.35">
      <c r="B86" s="238" t="s">
        <v>705</v>
      </c>
    </row>
    <row r="87" spans="2:13" ht="15.5" hidden="1" x14ac:dyDescent="0.35">
      <c r="B87" s="271" t="s">
        <v>243</v>
      </c>
      <c r="C87" s="264">
        <f>C52</f>
        <v>0</v>
      </c>
      <c r="D87" s="277" t="str">
        <f>IF(COUNTBLANK(C40:C51)=0,"Y","N")</f>
        <v>N</v>
      </c>
    </row>
    <row r="88" spans="2:13" ht="26" hidden="1" x14ac:dyDescent="0.35">
      <c r="B88" s="334" t="s">
        <v>472</v>
      </c>
      <c r="C88" s="264">
        <f>IF(C80="hybrid",1,0)</f>
        <v>0</v>
      </c>
      <c r="D88" s="264">
        <f>IF(C81="hybrid",1,0)</f>
        <v>0</v>
      </c>
      <c r="E88" s="264">
        <f>IF(C82="hybrid",1,0)</f>
        <v>0</v>
      </c>
      <c r="F88" s="264">
        <f>IF(E34="Y",1,0)</f>
        <v>0</v>
      </c>
      <c r="G88" s="253" t="str">
        <f>IF(SUM(C88:F88)&gt;0,"Y","N")</f>
        <v>N</v>
      </c>
    </row>
    <row r="89" spans="2:13" ht="18" hidden="1" x14ac:dyDescent="0.5">
      <c r="B89" s="545" t="s">
        <v>694</v>
      </c>
    </row>
    <row r="90" spans="2:13" ht="19.5" hidden="1" customHeight="1" x14ac:dyDescent="0.35">
      <c r="B90" s="264"/>
      <c r="C90" s="264" t="s">
        <v>256</v>
      </c>
      <c r="D90" s="264" t="s">
        <v>257</v>
      </c>
      <c r="E90" s="282"/>
      <c r="F90" s="282"/>
      <c r="G90" s="282"/>
    </row>
    <row r="91" spans="2:13" ht="19.5" hidden="1" customHeight="1" x14ac:dyDescent="0.35">
      <c r="B91" s="273" t="s">
        <v>258</v>
      </c>
      <c r="C91" s="546" t="e">
        <f>IF(C80="natural gas",G80*$D$85,G80)</f>
        <v>#N/A</v>
      </c>
      <c r="D91" s="287" t="e">
        <f>IF(C91/$E$16*277.78&lt;0,0,IF($E$28="N",($C$91+$C$92*0.2)/$E$16*277.78,$C$91/$E$16*277.78))</f>
        <v>#N/A</v>
      </c>
    </row>
    <row r="92" spans="2:13" ht="19.5" hidden="1" customHeight="1" x14ac:dyDescent="0.35">
      <c r="B92" s="271" t="s">
        <v>259</v>
      </c>
      <c r="C92" s="546" t="e">
        <f>IF(C81="natural gas",G81*$D$85,G81)</f>
        <v>#N/A</v>
      </c>
      <c r="D92" s="287" t="e">
        <f>IF($C$92/$E$16*277.78&lt;0,0,IF($E$28="N",0,$C$92/$E$16*277.78))</f>
        <v>#N/A</v>
      </c>
    </row>
    <row r="93" spans="2:13" s="248" customFormat="1" ht="19.5" hidden="1" customHeight="1" x14ac:dyDescent="0.35">
      <c r="B93" s="271" t="s">
        <v>167</v>
      </c>
      <c r="C93" s="546" t="e">
        <f>IF(C82="natural gas",G82*$D$85,G82)</f>
        <v>#DIV/0!</v>
      </c>
      <c r="D93" s="290" t="e">
        <f>IF(G82/$E$16*277.78&lt;0,0,G82/$E$16*277.78)</f>
        <v>#DIV/0!</v>
      </c>
      <c r="E93" s="287" t="e">
        <f>IF(C93/$E$18*277.78&lt;0,0,C93/$E$18*277.78)</f>
        <v>#DIV/0!</v>
      </c>
      <c r="F93" s="238" t="s">
        <v>260</v>
      </c>
      <c r="G93" s="238"/>
    </row>
    <row r="94" spans="2:13" s="248" customFormat="1" ht="19.5" hidden="1" customHeight="1" x14ac:dyDescent="0.35">
      <c r="B94" s="238"/>
      <c r="C94" s="291" t="s">
        <v>708</v>
      </c>
      <c r="D94" s="264" t="s">
        <v>257</v>
      </c>
      <c r="E94" s="238"/>
      <c r="F94" s="238"/>
      <c r="G94" s="238"/>
    </row>
    <row r="95" spans="2:13" s="248" customFormat="1" ht="19.5" hidden="1" customHeight="1" x14ac:dyDescent="0.35">
      <c r="B95" s="273" t="s">
        <v>263</v>
      </c>
      <c r="C95" s="547" t="e">
        <f>IF(C70="High-rise",LOOKUP(E10,B130:B134,R130:R134)*E16,LOOKUP(E10,B130:B134,K130:K134)*E16)</f>
        <v>#N/A</v>
      </c>
      <c r="D95" s="287" t="e">
        <f>C95/$E$16</f>
        <v>#N/A</v>
      </c>
      <c r="E95" s="238" t="s">
        <v>709</v>
      </c>
      <c r="F95" s="238"/>
      <c r="G95" s="238"/>
    </row>
    <row r="96" spans="2:13" s="248" customFormat="1" ht="19.5" hidden="1" customHeight="1" x14ac:dyDescent="0.35">
      <c r="B96" s="238"/>
      <c r="C96" s="238"/>
      <c r="D96" s="238" t="s">
        <v>264</v>
      </c>
      <c r="E96" s="238"/>
      <c r="F96" s="238"/>
      <c r="G96" s="238"/>
    </row>
    <row r="97" spans="2:31" s="248" customFormat="1" ht="19.5" hidden="1" customHeight="1" x14ac:dyDescent="0.35">
      <c r="B97" s="271" t="s">
        <v>635</v>
      </c>
      <c r="C97" s="264"/>
      <c r="D97" s="287" t="e">
        <f>IF(C70="High-rise",LOOKUP(E10,B130:B134,P130:P134),LOOKUP(E10,B130:B134,I130:I134))*(1+LOOKUP(E12,B140:B144,F140:F144))/0.8</f>
        <v>#N/A</v>
      </c>
      <c r="E97" s="238"/>
      <c r="F97" s="238"/>
      <c r="G97" s="238"/>
    </row>
    <row r="98" spans="2:31" s="248" customFormat="1" ht="19.5" hidden="1" customHeight="1" x14ac:dyDescent="0.35">
      <c r="B98" s="271" t="s">
        <v>634</v>
      </c>
      <c r="C98" s="264"/>
      <c r="D98" s="287" t="e">
        <f>IF(C70="High-rise",LOOKUP(E10,B130:B134,S130:S134),LOOKUP(E10,B130:B134,L130:L134))*(1+LOOKUP(E12,B140:B144,F140:F144))</f>
        <v>#N/A</v>
      </c>
      <c r="E98" s="238" t="s">
        <v>706</v>
      </c>
      <c r="F98" s="238"/>
      <c r="G98" s="238"/>
    </row>
    <row r="99" spans="2:31" s="248" customFormat="1" ht="19.5" hidden="1" customHeight="1" x14ac:dyDescent="0.35">
      <c r="B99" s="271" t="s">
        <v>636</v>
      </c>
      <c r="C99" s="264"/>
      <c r="D99" s="287" t="e">
        <f>LOOKUP(E10,B130:B134,V130:V134)/0.8</f>
        <v>#N/A</v>
      </c>
      <c r="E99" s="238"/>
      <c r="F99" s="238"/>
      <c r="G99" s="238"/>
    </row>
    <row r="100" spans="2:31" s="248" customFormat="1" ht="19.5" hidden="1" customHeight="1" x14ac:dyDescent="0.35">
      <c r="B100" s="238"/>
      <c r="C100" s="238"/>
      <c r="D100" s="238" t="s">
        <v>269</v>
      </c>
      <c r="E100" s="238"/>
      <c r="F100" s="238"/>
      <c r="G100" s="238"/>
    </row>
    <row r="101" spans="2:31" s="248" customFormat="1" ht="19.5" hidden="1" customHeight="1" x14ac:dyDescent="0.35">
      <c r="B101" s="271" t="s">
        <v>270</v>
      </c>
      <c r="C101" s="264"/>
      <c r="D101" s="287">
        <f>75/76*1.5</f>
        <v>1.4802631578947367</v>
      </c>
      <c r="E101" s="238" t="s">
        <v>271</v>
      </c>
      <c r="F101" s="238"/>
      <c r="G101" s="238"/>
    </row>
    <row r="102" spans="2:31" s="248" customFormat="1" ht="19.5" hidden="1" customHeight="1" x14ac:dyDescent="0.35">
      <c r="B102" s="238"/>
      <c r="C102" s="238" t="s">
        <v>272</v>
      </c>
      <c r="D102" s="238" t="s">
        <v>710</v>
      </c>
      <c r="E102" s="238" t="s">
        <v>711</v>
      </c>
      <c r="F102" s="238"/>
      <c r="G102" s="238"/>
    </row>
    <row r="103" spans="2:31" s="248" customFormat="1" ht="19.5" hidden="1" customHeight="1" x14ac:dyDescent="0.35">
      <c r="B103" s="271" t="s">
        <v>274</v>
      </c>
      <c r="C103" s="265" t="e">
        <f>C113*(1/C145)</f>
        <v>#DIV/0!</v>
      </c>
      <c r="D103" s="292" t="e">
        <f>$D$106*C103/SUM($C$103:$C$105)</f>
        <v>#N/A</v>
      </c>
      <c r="E103" s="238" t="e">
        <f>D103*277.78*C147</f>
        <v>#N/A</v>
      </c>
      <c r="F103" s="238"/>
      <c r="G103" s="238"/>
    </row>
    <row r="104" spans="2:31" s="248" customFormat="1" ht="19.5" hidden="1" customHeight="1" x14ac:dyDescent="0.35">
      <c r="B104" s="271" t="s">
        <v>276</v>
      </c>
      <c r="C104" s="265" t="e">
        <f>C115*1/D145</f>
        <v>#DIV/0!</v>
      </c>
      <c r="D104" s="292" t="e">
        <f>$D$106*C104/SUM($C$103:$C$105)</f>
        <v>#N/A</v>
      </c>
      <c r="E104" s="238" t="e">
        <f>D104*277.78*D147</f>
        <v>#N/A</v>
      </c>
      <c r="F104" s="238"/>
      <c r="G104" s="238"/>
    </row>
    <row r="105" spans="2:31" s="248" customFormat="1" ht="19.5" hidden="1" customHeight="1" x14ac:dyDescent="0.35">
      <c r="B105" s="271" t="s">
        <v>277</v>
      </c>
      <c r="C105" s="265" t="e">
        <f>C114*1/E145</f>
        <v>#DIV/0!</v>
      </c>
      <c r="D105" s="292" t="e">
        <f>$D$106*C105/SUM($C$103:$C$105)</f>
        <v>#N/A</v>
      </c>
      <c r="E105" s="238" t="e">
        <f>D105*277.78*E147</f>
        <v>#N/A</v>
      </c>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row>
    <row r="106" spans="2:31" s="248" customFormat="1" ht="19.5" hidden="1" customHeight="1" x14ac:dyDescent="0.35">
      <c r="B106" s="271" t="s">
        <v>278</v>
      </c>
      <c r="C106" s="265"/>
      <c r="D106" s="267" t="e">
        <f>IF(G80&lt;0,0,G80)</f>
        <v>#N/A</v>
      </c>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row>
    <row r="107" spans="2:31" s="248" customFormat="1" ht="15.65" hidden="1" customHeight="1" x14ac:dyDescent="0.35">
      <c r="C107" s="238"/>
      <c r="D107" s="238"/>
      <c r="E107" s="238"/>
      <c r="F107" s="238"/>
      <c r="G107" s="238"/>
    </row>
    <row r="108" spans="2:31" s="248" customFormat="1" ht="15.65" hidden="1" customHeight="1" x14ac:dyDescent="0.35">
      <c r="C108" s="238"/>
      <c r="D108" s="238"/>
      <c r="E108" s="238"/>
      <c r="F108" s="238"/>
      <c r="G108" s="238"/>
    </row>
    <row r="109" spans="2:31" s="248" customFormat="1" ht="15.65" hidden="1" customHeight="1" x14ac:dyDescent="0.35">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row>
    <row r="110" spans="2:31" s="248" customFormat="1" ht="15.65" hidden="1" customHeight="1" x14ac:dyDescent="0.5">
      <c r="B110" s="545" t="s">
        <v>704</v>
      </c>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row>
    <row r="111" spans="2:31" s="248" customFormat="1" ht="15.65" hidden="1" customHeight="1" x14ac:dyDescent="0.35">
      <c r="B111" s="264" t="s">
        <v>211</v>
      </c>
      <c r="C111" s="265" t="e">
        <f>E16/E14</f>
        <v>#DIV/0!</v>
      </c>
      <c r="D111" s="238"/>
      <c r="E111" s="238"/>
      <c r="F111" s="238" t="s">
        <v>470</v>
      </c>
      <c r="G111" s="238"/>
      <c r="H111" s="238">
        <v>0.2</v>
      </c>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row>
    <row r="112" spans="2:31" s="248" customFormat="1" ht="15.65" hidden="1" customHeight="1" x14ac:dyDescent="0.35">
      <c r="B112" s="264" t="s">
        <v>213</v>
      </c>
      <c r="C112" s="265" t="e">
        <f>SQRT(C111)*4</f>
        <v>#DIV/0!</v>
      </c>
      <c r="D112" s="238"/>
      <c r="E112" s="238"/>
      <c r="F112" s="238" t="s">
        <v>471</v>
      </c>
      <c r="G112" s="238"/>
      <c r="H112" s="238">
        <v>0.4</v>
      </c>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row>
    <row r="113" spans="2:31" s="248" customFormat="1" ht="15.65" hidden="1" customHeight="1" x14ac:dyDescent="0.35">
      <c r="B113" s="264" t="s">
        <v>217</v>
      </c>
      <c r="C113" s="267" t="e">
        <f>C112*E14*8*(1-IF(C70="High-rise",H112,H111))</f>
        <v>#DIV/0!</v>
      </c>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row>
    <row r="114" spans="2:31" s="248" customFormat="1" ht="15.65" hidden="1" customHeight="1" x14ac:dyDescent="0.35">
      <c r="B114" s="264" t="s">
        <v>220</v>
      </c>
      <c r="C114" s="267" t="e">
        <f>C112*E14*8*IF(C70="High-rise",H112,H111)</f>
        <v>#DIV/0!</v>
      </c>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row>
    <row r="115" spans="2:31" s="248" customFormat="1" ht="15.65" hidden="1" customHeight="1" x14ac:dyDescent="0.35">
      <c r="B115" s="264" t="s">
        <v>222</v>
      </c>
      <c r="C115" s="267" t="e">
        <f>C111</f>
        <v>#DIV/0!</v>
      </c>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row>
    <row r="116" spans="2:31" s="248" customFormat="1" ht="15.65" hidden="1" customHeight="1" x14ac:dyDescent="0.5">
      <c r="B116" s="545" t="s">
        <v>712</v>
      </c>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row>
    <row r="117" spans="2:31" s="248" customFormat="1" ht="15.65" hidden="1" customHeight="1" x14ac:dyDescent="0.35">
      <c r="B117" s="264"/>
      <c r="C117" s="264"/>
      <c r="D117" s="264" t="s">
        <v>227</v>
      </c>
      <c r="E117" s="264" t="s">
        <v>228</v>
      </c>
      <c r="F117" s="559"/>
      <c r="G117" s="559"/>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row>
    <row r="118" spans="2:31" s="248" customFormat="1" ht="15.65" hidden="1" customHeight="1" x14ac:dyDescent="0.35">
      <c r="B118" s="264" t="s">
        <v>744</v>
      </c>
      <c r="C118" s="264"/>
      <c r="D118" s="264" t="e">
        <f>LOOKUP($E$10,$B$130:$B$134,J$140:J$144)</f>
        <v>#N/A</v>
      </c>
      <c r="E118" s="264" t="e">
        <f>LOOKUP($E$10,$B$130:$B$134,K$140:K$144)</f>
        <v>#N/A</v>
      </c>
      <c r="F118" s="559"/>
      <c r="G118" s="559"/>
      <c r="H118" s="238">
        <v>0.73</v>
      </c>
      <c r="I118" s="238" t="s">
        <v>752</v>
      </c>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row>
    <row r="119" spans="2:31" s="248" customFormat="1" ht="15.65" hidden="1" customHeight="1" x14ac:dyDescent="0.35">
      <c r="B119" s="264" t="s">
        <v>734</v>
      </c>
      <c r="C119" s="264"/>
      <c r="D119" s="264" t="e">
        <f>LOOKUP($E$10,$B$130:$B$134,L$140:L$144)</f>
        <v>#N/A</v>
      </c>
      <c r="E119" s="264" t="e">
        <f>LOOKUP($E$10,$B$130:$B$134,M$140:M$144)</f>
        <v>#N/A</v>
      </c>
      <c r="F119" s="559"/>
      <c r="G119" s="559"/>
      <c r="H119" s="238"/>
      <c r="I119" s="238"/>
      <c r="J119" s="238"/>
      <c r="K119" s="238"/>
      <c r="L119" s="272"/>
      <c r="M119" s="272"/>
      <c r="N119" s="238"/>
      <c r="O119" s="238"/>
      <c r="P119" s="238"/>
      <c r="Q119" s="238"/>
      <c r="R119" s="238"/>
      <c r="S119" s="238"/>
      <c r="T119" s="238"/>
      <c r="U119" s="238"/>
      <c r="V119" s="238"/>
      <c r="W119" s="238"/>
      <c r="X119" s="238"/>
      <c r="Y119" s="238"/>
      <c r="Z119" s="238"/>
      <c r="AA119" s="238"/>
      <c r="AB119" s="238"/>
      <c r="AC119" s="238"/>
      <c r="AD119" s="238"/>
      <c r="AE119" s="238"/>
    </row>
    <row r="120" spans="2:31" s="248" customFormat="1" ht="15.65" hidden="1" customHeight="1" x14ac:dyDescent="0.35">
      <c r="B120" s="264" t="s">
        <v>735</v>
      </c>
      <c r="C120" s="264"/>
      <c r="D120" s="270" t="e">
        <f>IF(C70="Low-rise",4*C124+(1-C124)*3,3.5*C124+(1-C124)*2.5)</f>
        <v>#N/A</v>
      </c>
      <c r="E120" s="270" t="e">
        <f>2.5*C124+(1-C124)*1.25</f>
        <v>#N/A</v>
      </c>
      <c r="F120" s="559" t="s">
        <v>234</v>
      </c>
      <c r="G120" s="559"/>
      <c r="H120" s="238"/>
      <c r="I120" s="238"/>
      <c r="J120" s="238"/>
      <c r="K120" s="238"/>
      <c r="L120" s="272"/>
      <c r="M120" s="272"/>
      <c r="N120" s="238"/>
      <c r="O120" s="238"/>
      <c r="P120" s="238"/>
      <c r="Q120" s="238"/>
      <c r="R120" s="238"/>
      <c r="S120" s="238"/>
      <c r="T120" s="238"/>
      <c r="U120" s="238"/>
      <c r="V120" s="238"/>
      <c r="W120" s="238"/>
      <c r="X120" s="238"/>
      <c r="Y120" s="238"/>
      <c r="Z120" s="238"/>
      <c r="AA120" s="238"/>
      <c r="AB120" s="238"/>
      <c r="AC120" s="238"/>
      <c r="AD120" s="238"/>
      <c r="AE120" s="238"/>
    </row>
    <row r="121" spans="2:31" s="248" customFormat="1" ht="15.65" hidden="1" customHeight="1" x14ac:dyDescent="0.35">
      <c r="B121" s="264" t="s">
        <v>736</v>
      </c>
      <c r="C121" s="264"/>
      <c r="D121" s="264">
        <v>3.5</v>
      </c>
      <c r="E121" s="264">
        <v>1</v>
      </c>
      <c r="F121" s="559"/>
      <c r="G121" s="559"/>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row>
    <row r="122" spans="2:31" s="248" customFormat="1" ht="15.65" hidden="1" customHeight="1" x14ac:dyDescent="0.35">
      <c r="B122" s="264" t="s">
        <v>737</v>
      </c>
      <c r="C122" s="264"/>
      <c r="D122" s="264" t="e">
        <f>LOOKUP($E$10,$B$130:$B$134,N$140:N$144)</f>
        <v>#N/A</v>
      </c>
      <c r="E122" s="264" t="e">
        <f>LOOKUP($E$10,$B$130:$B$134,O$140:O$144)</f>
        <v>#N/A</v>
      </c>
      <c r="F122" s="559"/>
      <c r="G122" s="559"/>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row>
    <row r="123" spans="2:31" s="248" customFormat="1" ht="15.65" hidden="1" customHeight="1" x14ac:dyDescent="0.35">
      <c r="B123" s="264" t="s">
        <v>738</v>
      </c>
      <c r="C123" s="264"/>
      <c r="D123" s="264" t="e">
        <f>LOOKUP($E$10,$B$130:$B$134,P$140:P$144)</f>
        <v>#N/A</v>
      </c>
      <c r="E123" s="264" t="e">
        <f>LOOKUP($E$10,$B$130:$B$134,Q$140:Q$144)</f>
        <v>#N/A</v>
      </c>
      <c r="F123" s="559"/>
      <c r="G123" s="559"/>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row>
    <row r="124" spans="2:31" s="248" customFormat="1" ht="15.65" hidden="1" customHeight="1" x14ac:dyDescent="0.35">
      <c r="B124" s="275" t="s">
        <v>239</v>
      </c>
      <c r="C124" s="276" t="e">
        <f>(1-LOOKUP(E10,B130:B134,D130:D134))</f>
        <v>#N/A</v>
      </c>
      <c r="D124" s="264" t="e">
        <f>LOOKUP($E$10,$B$130:$B$134,R$140:R$144)</f>
        <v>#N/A</v>
      </c>
      <c r="E124" s="264"/>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row>
    <row r="125" spans="2:31" s="248" customFormat="1" ht="15.65" hidden="1" customHeight="1" x14ac:dyDescent="0.35">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row>
    <row r="126" spans="2:31" s="248" customFormat="1" ht="15.65" hidden="1" customHeight="1" x14ac:dyDescent="0.35">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row>
    <row r="127" spans="2:31" s="248" customFormat="1" ht="15.65" hidden="1" customHeight="1" x14ac:dyDescent="0.5">
      <c r="B127" s="545" t="s">
        <v>695</v>
      </c>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row>
    <row r="128" spans="2:31" s="248" customFormat="1" ht="15.65" hidden="1" customHeight="1" x14ac:dyDescent="0.35">
      <c r="B128" s="238"/>
      <c r="C128" s="238"/>
      <c r="D128" s="238"/>
      <c r="E128" s="238"/>
      <c r="F128" s="278" t="s">
        <v>244</v>
      </c>
      <c r="G128" s="279"/>
      <c r="H128" s="279"/>
      <c r="I128" s="279"/>
      <c r="J128" s="279"/>
      <c r="K128" s="279"/>
      <c r="L128" s="280"/>
      <c r="M128" s="278" t="s">
        <v>245</v>
      </c>
      <c r="N128" s="279"/>
      <c r="O128" s="279"/>
      <c r="P128" s="279"/>
      <c r="Q128" s="279"/>
      <c r="R128" s="279"/>
      <c r="S128" s="280"/>
      <c r="T128" s="238"/>
      <c r="U128" s="238"/>
      <c r="V128" s="238"/>
    </row>
    <row r="129" spans="2:31" s="248" customFormat="1" ht="15.65" hidden="1" customHeight="1" x14ac:dyDescent="0.35">
      <c r="B129" s="281" t="s">
        <v>246</v>
      </c>
      <c r="C129" s="281" t="s">
        <v>598</v>
      </c>
      <c r="D129" s="281" t="s">
        <v>696</v>
      </c>
      <c r="E129" s="281" t="s">
        <v>247</v>
      </c>
      <c r="F129" s="275" t="s">
        <v>248</v>
      </c>
      <c r="G129" s="275" t="s">
        <v>249</v>
      </c>
      <c r="H129" s="275" t="s">
        <v>250</v>
      </c>
      <c r="I129" s="275" t="s">
        <v>251</v>
      </c>
      <c r="J129" s="275" t="s">
        <v>252</v>
      </c>
      <c r="K129" s="275" t="s">
        <v>253</v>
      </c>
      <c r="L129" s="275" t="s">
        <v>254</v>
      </c>
      <c r="M129" s="275" t="s">
        <v>248</v>
      </c>
      <c r="N129" s="275" t="s">
        <v>249</v>
      </c>
      <c r="O129" s="275" t="s">
        <v>250</v>
      </c>
      <c r="P129" s="275" t="s">
        <v>251</v>
      </c>
      <c r="Q129" s="275" t="s">
        <v>252</v>
      </c>
      <c r="R129" s="275" t="s">
        <v>253</v>
      </c>
      <c r="S129" s="275" t="s">
        <v>254</v>
      </c>
      <c r="T129" s="275" t="s">
        <v>698</v>
      </c>
      <c r="U129" s="275" t="s">
        <v>699</v>
      </c>
      <c r="V129" s="275" t="s">
        <v>255</v>
      </c>
    </row>
    <row r="130" spans="2:31" s="248" customFormat="1" ht="15.65" hidden="1" customHeight="1" x14ac:dyDescent="0.35">
      <c r="B130" s="283">
        <v>4</v>
      </c>
      <c r="C130" s="283">
        <v>3870</v>
      </c>
      <c r="D130" s="284">
        <v>0.219</v>
      </c>
      <c r="E130" s="283">
        <v>75</v>
      </c>
      <c r="F130" s="285">
        <v>110.2</v>
      </c>
      <c r="G130" s="284">
        <f>F130/10.76*0.68</f>
        <v>6.9643122676579932</v>
      </c>
      <c r="H130" s="284">
        <v>2.76</v>
      </c>
      <c r="I130" s="284" t="e">
        <f>H130-V130</f>
        <v>#DIV/0!</v>
      </c>
      <c r="J130" s="284">
        <v>5</v>
      </c>
      <c r="K130" s="284">
        <f>J130/10.76</f>
        <v>0.46468401486988847</v>
      </c>
      <c r="L130" s="284">
        <v>0.76500000000000001</v>
      </c>
      <c r="M130" s="285">
        <v>153.4</v>
      </c>
      <c r="N130" s="284">
        <f>M130/10.76*0.68</f>
        <v>9.6944237918215617</v>
      </c>
      <c r="O130" s="284">
        <v>2.5299999999999998</v>
      </c>
      <c r="P130" s="284" t="e">
        <f>O130-V130</f>
        <v>#DIV/0!</v>
      </c>
      <c r="Q130" s="284">
        <v>8.6999999999999993</v>
      </c>
      <c r="R130" s="284">
        <f>Q130/10.76</f>
        <v>0.80855018587360594</v>
      </c>
      <c r="S130" s="284">
        <v>0.78</v>
      </c>
      <c r="T130" s="264">
        <v>26</v>
      </c>
      <c r="U130" s="264">
        <v>-3</v>
      </c>
      <c r="V130" s="286" t="e">
        <f>$C$76*0.00121*(22-U130+3)/$E$16*1000</f>
        <v>#DIV/0!</v>
      </c>
    </row>
    <row r="131" spans="2:31" s="248" customFormat="1" ht="15.65" hidden="1" customHeight="1" x14ac:dyDescent="0.35">
      <c r="B131" s="283">
        <v>5</v>
      </c>
      <c r="C131" s="283">
        <v>4430</v>
      </c>
      <c r="D131" s="284">
        <v>0.58399999999999996</v>
      </c>
      <c r="E131" s="283">
        <v>350</v>
      </c>
      <c r="F131" s="288">
        <v>132.80000000000001</v>
      </c>
      <c r="G131" s="284">
        <f>F131/10.76*0.68</f>
        <v>8.3925650557620841</v>
      </c>
      <c r="H131" s="284">
        <v>3.375</v>
      </c>
      <c r="I131" s="284" t="e">
        <f t="shared" ref="I131:I134" si="0">H131-V131</f>
        <v>#DIV/0!</v>
      </c>
      <c r="J131" s="289">
        <v>7.5</v>
      </c>
      <c r="K131" s="284">
        <f t="shared" ref="K131:K134" si="1">J131/10.76</f>
        <v>0.69702602230483268</v>
      </c>
      <c r="L131" s="284">
        <v>1.073</v>
      </c>
      <c r="M131" s="288">
        <v>181.4</v>
      </c>
      <c r="N131" s="284">
        <f>M131/10.76*0.68</f>
        <v>11.463940520446098</v>
      </c>
      <c r="O131" s="284">
        <v>4.24</v>
      </c>
      <c r="P131" s="284" t="e">
        <f t="shared" ref="P131:P134" si="2">O131-V131</f>
        <v>#DIV/0!</v>
      </c>
      <c r="Q131" s="289">
        <v>12.8</v>
      </c>
      <c r="R131" s="284">
        <f t="shared" ref="R131:R134" si="3">Q131/10.76</f>
        <v>1.1895910780669146</v>
      </c>
      <c r="S131" s="284">
        <v>1.1399999999999999</v>
      </c>
      <c r="T131" s="264">
        <v>34</v>
      </c>
      <c r="U131" s="264">
        <v>-14</v>
      </c>
      <c r="V131" s="286" t="e">
        <f t="shared" ref="V131:V134" si="4">$C$76*0.00121*(22-U131+3)/$E$16*1000</f>
        <v>#DIV/0!</v>
      </c>
    </row>
    <row r="132" spans="2:31" s="248" customFormat="1" ht="15.65" hidden="1" customHeight="1" x14ac:dyDescent="0.35">
      <c r="B132" s="283">
        <v>6</v>
      </c>
      <c r="C132" s="283">
        <v>6009</v>
      </c>
      <c r="D132" s="284">
        <v>0.627</v>
      </c>
      <c r="E132" s="283">
        <v>30</v>
      </c>
      <c r="F132" s="288">
        <v>170.5</v>
      </c>
      <c r="G132" s="284">
        <f>F132/10.76*0.68</f>
        <v>10.775092936802974</v>
      </c>
      <c r="H132" s="284">
        <v>4.3099999999999996</v>
      </c>
      <c r="I132" s="284" t="e">
        <f t="shared" si="0"/>
        <v>#DIV/0!</v>
      </c>
      <c r="J132" s="289">
        <v>3.9</v>
      </c>
      <c r="K132" s="284">
        <f t="shared" si="1"/>
        <v>0.36245353159851301</v>
      </c>
      <c r="L132" s="284">
        <v>0.81</v>
      </c>
      <c r="M132" s="288">
        <v>236.2</v>
      </c>
      <c r="N132" s="284">
        <f>M132/10.76*0.68</f>
        <v>14.927137546468403</v>
      </c>
      <c r="O132" s="284">
        <v>5.76</v>
      </c>
      <c r="P132" s="284" t="e">
        <f t="shared" si="2"/>
        <v>#DIV/0!</v>
      </c>
      <c r="Q132" s="289">
        <v>7.6</v>
      </c>
      <c r="R132" s="284">
        <f t="shared" si="3"/>
        <v>0.70631970260223043</v>
      </c>
      <c r="S132" s="284">
        <v>0.99</v>
      </c>
      <c r="T132" s="264">
        <v>28</v>
      </c>
      <c r="U132" s="264">
        <v>-29</v>
      </c>
      <c r="V132" s="286" t="e">
        <f t="shared" si="4"/>
        <v>#DIV/0!</v>
      </c>
    </row>
    <row r="133" spans="2:31" s="248" customFormat="1" ht="15.65" hidden="1" customHeight="1" x14ac:dyDescent="0.35">
      <c r="B133" s="281" t="s">
        <v>261</v>
      </c>
      <c r="C133" s="283">
        <v>6829</v>
      </c>
      <c r="D133" s="284">
        <v>0.71</v>
      </c>
      <c r="E133" s="283">
        <v>40</v>
      </c>
      <c r="F133" s="288">
        <f>0.0316*C133+25.24</f>
        <v>241.03640000000004</v>
      </c>
      <c r="G133" s="284">
        <f>F133/10.76*0.68</f>
        <v>15.232783643122682</v>
      </c>
      <c r="H133" s="284">
        <f>-0.0598*U133+2.5651</f>
        <v>4.8972999999999995</v>
      </c>
      <c r="I133" s="284" t="e">
        <f t="shared" si="0"/>
        <v>#DIV/0!</v>
      </c>
      <c r="J133" s="289">
        <f>0.0105*E133+3.8755</f>
        <v>4.2955000000000005</v>
      </c>
      <c r="K133" s="284">
        <f t="shared" si="1"/>
        <v>0.39921003717472126</v>
      </c>
      <c r="L133" s="284">
        <f>L132</f>
        <v>0.81</v>
      </c>
      <c r="M133" s="288">
        <f>0.0433*C133+35.927</f>
        <v>331.62270000000001</v>
      </c>
      <c r="N133" s="284">
        <f>M133/10.76*0.68</f>
        <v>20.957568401486991</v>
      </c>
      <c r="O133" s="284">
        <f>-0.1229*U133+2.2924</f>
        <v>7.0854999999999997</v>
      </c>
      <c r="P133" s="284" t="e">
        <f t="shared" si="2"/>
        <v>#DIV/0!</v>
      </c>
      <c r="Q133" s="289">
        <f>0.0158*E133+7.3069</f>
        <v>7.9389000000000003</v>
      </c>
      <c r="R133" s="284">
        <f t="shared" si="3"/>
        <v>0.7378159851301116</v>
      </c>
      <c r="S133" s="284">
        <f>S132</f>
        <v>0.99</v>
      </c>
      <c r="T133" s="264">
        <v>28</v>
      </c>
      <c r="U133" s="264">
        <v>-39</v>
      </c>
      <c r="V133" s="286" t="e">
        <f t="shared" si="4"/>
        <v>#DIV/0!</v>
      </c>
    </row>
    <row r="134" spans="2:31" s="248" customFormat="1" ht="15.65" hidden="1" customHeight="1" x14ac:dyDescent="0.35">
      <c r="B134" s="281" t="s">
        <v>262</v>
      </c>
      <c r="C134" s="283">
        <v>8000</v>
      </c>
      <c r="D134" s="284">
        <v>0.76</v>
      </c>
      <c r="E134" s="283">
        <v>50</v>
      </c>
      <c r="F134" s="288">
        <f>0.0316*C134+25.24</f>
        <v>278.04000000000002</v>
      </c>
      <c r="G134" s="284">
        <f>F134/10.76*0.68</f>
        <v>17.571301115241639</v>
      </c>
      <c r="H134" s="284">
        <f>-0.0598*U134+2.5651</f>
        <v>4.9571000000000005</v>
      </c>
      <c r="I134" s="284" t="e">
        <f t="shared" si="0"/>
        <v>#DIV/0!</v>
      </c>
      <c r="J134" s="289">
        <f>0.0105*E134+3.8755</f>
        <v>4.4005000000000001</v>
      </c>
      <c r="K134" s="284">
        <f t="shared" si="1"/>
        <v>0.40896840148698888</v>
      </c>
      <c r="L134" s="284">
        <f>L132</f>
        <v>0.81</v>
      </c>
      <c r="M134" s="288">
        <f>0.0433*C134+35.927</f>
        <v>382.327</v>
      </c>
      <c r="N134" s="284">
        <f>M134/10.76*0.68</f>
        <v>24.161929368029742</v>
      </c>
      <c r="O134" s="284">
        <f>-0.1229*U134+2.2924</f>
        <v>7.2083999999999993</v>
      </c>
      <c r="P134" s="284" t="e">
        <f t="shared" si="2"/>
        <v>#DIV/0!</v>
      </c>
      <c r="Q134" s="289">
        <f>0.0158*E134+7.3069</f>
        <v>8.0968999999999998</v>
      </c>
      <c r="R134" s="284">
        <f t="shared" si="3"/>
        <v>0.75249999999999995</v>
      </c>
      <c r="S134" s="284">
        <f>S132</f>
        <v>0.99</v>
      </c>
      <c r="T134" s="264">
        <v>28</v>
      </c>
      <c r="U134" s="264">
        <v>-40</v>
      </c>
      <c r="V134" s="286" t="e">
        <f t="shared" si="4"/>
        <v>#DIV/0!</v>
      </c>
    </row>
    <row r="135" spans="2:31" s="248" customFormat="1" ht="15.65" hidden="1" customHeight="1" x14ac:dyDescent="0.35">
      <c r="R135" s="238"/>
      <c r="S135" s="238"/>
      <c r="T135" s="238"/>
      <c r="U135" s="238"/>
      <c r="V135" s="238"/>
      <c r="W135" s="238"/>
    </row>
    <row r="136" spans="2:31" s="248" customFormat="1" ht="15.65" hidden="1" customHeight="1" x14ac:dyDescent="0.35">
      <c r="R136" s="238"/>
      <c r="S136" s="238"/>
      <c r="T136" s="238"/>
      <c r="U136" s="238"/>
      <c r="V136" s="238"/>
      <c r="W136" s="238"/>
    </row>
    <row r="137" spans="2:31" s="248" customFormat="1" ht="15.65" hidden="1" customHeight="1" x14ac:dyDescent="0.35">
      <c r="S137" s="238"/>
      <c r="T137" s="238"/>
      <c r="U137" s="238"/>
      <c r="V137" s="238"/>
      <c r="W137" s="238"/>
    </row>
    <row r="138" spans="2:31" s="248" customFormat="1" ht="15.65" hidden="1" customHeight="1" x14ac:dyDescent="0.5">
      <c r="B138" s="545" t="s">
        <v>733</v>
      </c>
      <c r="C138" s="238"/>
      <c r="D138" s="238"/>
      <c r="E138" s="238"/>
      <c r="F138" s="238"/>
      <c r="G138" s="238"/>
      <c r="I138" s="238"/>
      <c r="J138" s="545" t="s">
        <v>743</v>
      </c>
      <c r="K138" s="238"/>
      <c r="L138" s="238"/>
      <c r="M138" s="238"/>
      <c r="N138" s="238"/>
      <c r="O138" s="238"/>
      <c r="P138" s="238"/>
      <c r="Q138" s="238"/>
      <c r="R138" s="238"/>
      <c r="S138" s="238"/>
      <c r="T138" s="238"/>
      <c r="U138" s="238"/>
      <c r="V138" s="238"/>
      <c r="W138" s="238"/>
    </row>
    <row r="139" spans="2:31" s="248" customFormat="1" ht="72.650000000000006" hidden="1" customHeight="1" x14ac:dyDescent="0.35">
      <c r="B139" s="264" t="s">
        <v>265</v>
      </c>
      <c r="C139" s="264" t="s">
        <v>266</v>
      </c>
      <c r="D139" s="264" t="s">
        <v>267</v>
      </c>
      <c r="E139" s="264" t="s">
        <v>268</v>
      </c>
      <c r="F139" s="264" t="s">
        <v>697</v>
      </c>
      <c r="G139" s="238"/>
      <c r="I139" s="281" t="s">
        <v>246</v>
      </c>
      <c r="J139" s="560" t="s">
        <v>700</v>
      </c>
      <c r="K139" s="560" t="s">
        <v>701</v>
      </c>
      <c r="L139" s="560" t="s">
        <v>702</v>
      </c>
      <c r="M139" s="560" t="s">
        <v>703</v>
      </c>
      <c r="N139" s="560" t="s">
        <v>739</v>
      </c>
      <c r="O139" s="560" t="s">
        <v>740</v>
      </c>
      <c r="P139" s="560" t="s">
        <v>741</v>
      </c>
      <c r="Q139" s="560" t="s">
        <v>742</v>
      </c>
      <c r="R139" s="560" t="s">
        <v>772</v>
      </c>
      <c r="S139" s="238"/>
      <c r="T139" s="238"/>
      <c r="U139" s="238"/>
      <c r="V139" s="238"/>
      <c r="W139" s="238"/>
    </row>
    <row r="140" spans="2:31" s="248" customFormat="1" ht="15.65" hidden="1" customHeight="1" x14ac:dyDescent="0.35">
      <c r="B140" s="264">
        <v>0</v>
      </c>
      <c r="C140" s="264">
        <v>5</v>
      </c>
      <c r="D140" s="264">
        <v>12</v>
      </c>
      <c r="E140" s="276">
        <v>0.9</v>
      </c>
      <c r="F140" s="558">
        <f>(1/C140-1/$C$143)*1.5</f>
        <v>0.17500000000000002</v>
      </c>
      <c r="G140" s="238"/>
      <c r="I140" s="283">
        <v>4</v>
      </c>
      <c r="J140" s="561">
        <v>2.2400000000000002</v>
      </c>
      <c r="K140" s="562">
        <v>1.3</v>
      </c>
      <c r="L140" s="562">
        <v>3</v>
      </c>
      <c r="M140" s="562">
        <v>2</v>
      </c>
      <c r="N140" s="562">
        <v>2.86</v>
      </c>
      <c r="O140" s="562">
        <v>1.27</v>
      </c>
      <c r="P140" s="562">
        <v>1.83</v>
      </c>
      <c r="Q140" s="562">
        <v>1</v>
      </c>
      <c r="R140" s="562">
        <v>1</v>
      </c>
      <c r="S140" s="238"/>
      <c r="T140" s="238"/>
      <c r="U140" s="238"/>
      <c r="V140" s="238"/>
      <c r="W140" s="238"/>
    </row>
    <row r="141" spans="2:31" ht="15.5" hidden="1" x14ac:dyDescent="0.35">
      <c r="B141" s="264">
        <v>1950</v>
      </c>
      <c r="C141" s="264">
        <v>6</v>
      </c>
      <c r="D141" s="264">
        <v>15</v>
      </c>
      <c r="E141" s="276">
        <v>1.2</v>
      </c>
      <c r="F141" s="558">
        <f>(1/C141-1/$C$143)*1.5</f>
        <v>0.125</v>
      </c>
      <c r="I141" s="283">
        <v>5</v>
      </c>
      <c r="J141" s="561">
        <v>1.64</v>
      </c>
      <c r="K141" s="562">
        <v>1</v>
      </c>
      <c r="L141" s="562">
        <v>2.73</v>
      </c>
      <c r="M141" s="562">
        <v>2</v>
      </c>
      <c r="N141" s="562">
        <v>1.93</v>
      </c>
      <c r="O141" s="562">
        <v>1</v>
      </c>
      <c r="P141" s="562">
        <v>1.3</v>
      </c>
      <c r="Q141" s="562">
        <v>1</v>
      </c>
      <c r="R141" s="562">
        <v>0.98809999999999998</v>
      </c>
      <c r="X141" s="248"/>
      <c r="Y141" s="248"/>
      <c r="Z141" s="248"/>
      <c r="AA141" s="248"/>
      <c r="AB141" s="248"/>
      <c r="AC141" s="248"/>
      <c r="AD141" s="248"/>
      <c r="AE141" s="248"/>
    </row>
    <row r="142" spans="2:31" s="248" customFormat="1" ht="15.65" hidden="1" customHeight="1" x14ac:dyDescent="0.35">
      <c r="B142" s="264">
        <v>1990</v>
      </c>
      <c r="C142" s="264">
        <v>8</v>
      </c>
      <c r="D142" s="264">
        <v>20</v>
      </c>
      <c r="E142" s="276">
        <v>1.8</v>
      </c>
      <c r="F142" s="558">
        <f>(1/C142-1/$C$143)*1.5</f>
        <v>6.25E-2</v>
      </c>
      <c r="G142" s="238"/>
      <c r="H142" s="238"/>
      <c r="I142" s="283">
        <v>6</v>
      </c>
      <c r="J142" s="561">
        <v>1.47</v>
      </c>
      <c r="K142" s="562">
        <v>1</v>
      </c>
      <c r="L142" s="562">
        <v>2.4</v>
      </c>
      <c r="M142" s="562">
        <v>1</v>
      </c>
      <c r="N142" s="562">
        <v>1.71</v>
      </c>
      <c r="O142" s="562">
        <v>1</v>
      </c>
      <c r="P142" s="562">
        <v>1.2</v>
      </c>
      <c r="Q142" s="562">
        <v>1</v>
      </c>
      <c r="R142" s="562">
        <v>0.92</v>
      </c>
      <c r="S142" s="238"/>
      <c r="T142" s="238"/>
      <c r="U142" s="238"/>
      <c r="V142" s="238"/>
      <c r="W142" s="238"/>
    </row>
    <row r="143" spans="2:31" s="248" customFormat="1" ht="15.65" hidden="1" customHeight="1" x14ac:dyDescent="0.35">
      <c r="B143" s="264">
        <v>2010</v>
      </c>
      <c r="C143" s="264">
        <v>12</v>
      </c>
      <c r="D143" s="264">
        <v>22</v>
      </c>
      <c r="E143" s="276">
        <v>2.2999999999999998</v>
      </c>
      <c r="F143" s="558">
        <f>(1/C143-1/$C$143)*1.5</f>
        <v>0</v>
      </c>
      <c r="G143" s="238" t="s">
        <v>731</v>
      </c>
      <c r="H143" s="238"/>
      <c r="I143" s="281" t="s">
        <v>261</v>
      </c>
      <c r="J143" s="561">
        <v>1.28</v>
      </c>
      <c r="K143" s="562">
        <v>1</v>
      </c>
      <c r="L143" s="562">
        <v>1.78</v>
      </c>
      <c r="M143" s="562">
        <v>1</v>
      </c>
      <c r="N143" s="562">
        <v>1.47</v>
      </c>
      <c r="O143" s="562">
        <v>1</v>
      </c>
      <c r="P143" s="562">
        <v>1.1599999999999999</v>
      </c>
      <c r="Q143" s="562">
        <v>1</v>
      </c>
      <c r="R143" s="562">
        <v>0.7</v>
      </c>
      <c r="S143" s="238"/>
      <c r="T143" s="238"/>
      <c r="U143" s="238"/>
      <c r="V143" s="238"/>
      <c r="W143" s="238"/>
    </row>
    <row r="144" spans="2:31" s="248" customFormat="1" ht="15.65" hidden="1" customHeight="1" x14ac:dyDescent="0.35">
      <c r="B144" s="264">
        <v>9999</v>
      </c>
      <c r="C144" s="264">
        <v>18</v>
      </c>
      <c r="D144" s="264">
        <v>25</v>
      </c>
      <c r="E144" s="276">
        <v>2.4</v>
      </c>
      <c r="F144" s="558">
        <v>0</v>
      </c>
      <c r="G144" s="238" t="s">
        <v>732</v>
      </c>
      <c r="H144" s="238"/>
      <c r="I144" s="281" t="s">
        <v>262</v>
      </c>
      <c r="J144" s="561">
        <v>1.28</v>
      </c>
      <c r="K144" s="562">
        <v>1</v>
      </c>
      <c r="L144" s="562">
        <v>1.78</v>
      </c>
      <c r="M144" s="562">
        <v>1</v>
      </c>
      <c r="N144" s="562">
        <v>1.47</v>
      </c>
      <c r="O144" s="562">
        <v>1</v>
      </c>
      <c r="P144" s="562">
        <v>1.1599999999999999</v>
      </c>
      <c r="Q144" s="562">
        <v>1</v>
      </c>
      <c r="R144" s="562">
        <v>0.7</v>
      </c>
      <c r="S144" s="238"/>
      <c r="T144" s="238"/>
      <c r="U144" s="238"/>
      <c r="V144" s="238"/>
      <c r="W144" s="238"/>
    </row>
    <row r="145" spans="2:7" s="248" customFormat="1" ht="15.65" hidden="1" customHeight="1" x14ac:dyDescent="0.35">
      <c r="B145" s="277" t="s">
        <v>273</v>
      </c>
      <c r="C145" s="264">
        <f>LOOKUP(E12,B140:B144,C140:C144)</f>
        <v>5</v>
      </c>
      <c r="D145" s="264">
        <f>LOOKUP(E12,B140:B144,D140:D144)</f>
        <v>12</v>
      </c>
      <c r="E145" s="276">
        <f>LOOKUP(E12,B140:B144,E140:E144)</f>
        <v>0.9</v>
      </c>
      <c r="F145" s="264"/>
      <c r="G145" s="238"/>
    </row>
    <row r="146" spans="2:7" s="248" customFormat="1" ht="15.5" hidden="1" x14ac:dyDescent="0.35">
      <c r="B146" s="277" t="s">
        <v>275</v>
      </c>
      <c r="C146" s="264">
        <v>18</v>
      </c>
      <c r="D146" s="264">
        <v>25</v>
      </c>
      <c r="E146" s="276">
        <v>2.5</v>
      </c>
      <c r="F146" s="264"/>
      <c r="G146" s="238"/>
    </row>
    <row r="147" spans="2:7" s="248" customFormat="1" ht="15.5" hidden="1" x14ac:dyDescent="0.35">
      <c r="B147" s="238"/>
      <c r="C147" s="293">
        <f>(1/C145-1/C146)</f>
        <v>0.14444444444444446</v>
      </c>
      <c r="D147" s="293">
        <f>(1/D145-1/D146)</f>
        <v>4.3333333333333328E-2</v>
      </c>
      <c r="E147" s="293">
        <f>(1/E145-1/E146)</f>
        <v>0.71111111111111114</v>
      </c>
      <c r="F147" s="238"/>
      <c r="G147" s="238"/>
    </row>
    <row r="148" spans="2:7" s="248" customFormat="1" ht="15.5" hidden="1" x14ac:dyDescent="0.35">
      <c r="C148" s="238"/>
      <c r="D148" s="238"/>
      <c r="E148" s="238"/>
      <c r="F148" s="238"/>
      <c r="G148" s="238"/>
    </row>
    <row r="149" spans="2:7" s="248" customFormat="1" ht="15.5" hidden="1" x14ac:dyDescent="0.35">
      <c r="C149" s="238"/>
      <c r="D149" s="238"/>
      <c r="E149" s="238"/>
      <c r="F149" s="238"/>
      <c r="G149" s="238"/>
    </row>
    <row r="150" spans="2:7" s="248" customFormat="1" ht="15.5" hidden="1" x14ac:dyDescent="0.35">
      <c r="C150" s="238"/>
      <c r="D150" s="238"/>
      <c r="E150" s="238"/>
      <c r="F150" s="238"/>
      <c r="G150" s="238"/>
    </row>
    <row r="151" spans="2:7" s="248" customFormat="1" ht="15.5" hidden="1" x14ac:dyDescent="0.35">
      <c r="B151" s="238"/>
      <c r="C151" s="238"/>
      <c r="D151" s="238"/>
      <c r="E151" s="238"/>
      <c r="F151" s="238"/>
    </row>
    <row r="152" spans="2:7" s="248" customFormat="1" ht="15.5" hidden="1" x14ac:dyDescent="0.35">
      <c r="B152" s="238"/>
      <c r="C152" s="238"/>
      <c r="D152" s="238"/>
      <c r="E152" s="238"/>
      <c r="F152" s="238"/>
    </row>
    <row r="153" spans="2:7" s="248" customFormat="1" ht="15.5" hidden="1" x14ac:dyDescent="0.35">
      <c r="B153" s="238"/>
      <c r="C153" s="238"/>
      <c r="D153" s="238"/>
      <c r="E153" s="238"/>
      <c r="F153" s="238"/>
    </row>
    <row r="154" spans="2:7" s="248" customFormat="1" ht="15.5" hidden="1" x14ac:dyDescent="0.35">
      <c r="B154" s="238"/>
      <c r="C154" s="238"/>
      <c r="D154" s="238"/>
      <c r="E154" s="238"/>
      <c r="F154" s="238"/>
    </row>
    <row r="155" spans="2:7" s="248" customFormat="1" ht="15.5" hidden="1" x14ac:dyDescent="0.35">
      <c r="B155" s="238"/>
      <c r="C155" s="238"/>
      <c r="D155" s="238"/>
      <c r="E155" s="238"/>
      <c r="F155" s="238"/>
    </row>
    <row r="156" spans="2:7" s="248" customFormat="1" ht="15.5" hidden="1" x14ac:dyDescent="0.35">
      <c r="B156" s="238"/>
      <c r="C156" s="238"/>
      <c r="D156" s="238"/>
      <c r="E156" s="238"/>
      <c r="F156" s="238"/>
    </row>
    <row r="157" spans="2:7" s="248" customFormat="1" ht="15.5" hidden="1" x14ac:dyDescent="0.35">
      <c r="B157" s="238"/>
      <c r="C157" s="238"/>
      <c r="D157" s="238"/>
      <c r="E157" s="238"/>
      <c r="F157" s="238"/>
    </row>
    <row r="158" spans="2:7" s="248" customFormat="1" ht="15.5" hidden="1" x14ac:dyDescent="0.35">
      <c r="B158" s="238"/>
      <c r="C158" s="238"/>
      <c r="D158" s="238"/>
      <c r="E158" s="238"/>
      <c r="F158" s="238"/>
    </row>
    <row r="159" spans="2:7" s="248" customFormat="1" ht="15.5" hidden="1" x14ac:dyDescent="0.35">
      <c r="B159" s="238"/>
      <c r="C159" s="238"/>
      <c r="D159" s="238"/>
      <c r="E159" s="238"/>
      <c r="F159" s="238"/>
    </row>
    <row r="160" spans="2:7" s="248" customFormat="1" ht="15.5" hidden="1" x14ac:dyDescent="0.35">
      <c r="B160" s="238"/>
      <c r="C160" s="238"/>
      <c r="D160" s="238"/>
      <c r="E160" s="238"/>
      <c r="F160" s="238"/>
    </row>
    <row r="161" spans="2:6" s="248" customFormat="1" ht="15.5" hidden="1" x14ac:dyDescent="0.35">
      <c r="B161" s="238"/>
      <c r="C161" s="238"/>
      <c r="D161" s="238"/>
      <c r="E161" s="238"/>
      <c r="F161" s="238"/>
    </row>
    <row r="162" spans="2:6" s="248" customFormat="1" ht="15.5" hidden="1" x14ac:dyDescent="0.35">
      <c r="B162" s="238"/>
      <c r="C162" s="238"/>
      <c r="D162" s="238"/>
      <c r="E162" s="238"/>
      <c r="F162" s="238"/>
    </row>
    <row r="163" spans="2:6" s="248" customFormat="1" ht="15.5" hidden="1" x14ac:dyDescent="0.35">
      <c r="B163" s="238"/>
      <c r="C163" s="238"/>
      <c r="D163" s="238"/>
      <c r="E163" s="238"/>
      <c r="F163" s="238"/>
    </row>
    <row r="164" spans="2:6" s="248" customFormat="1" ht="15.5" hidden="1" x14ac:dyDescent="0.35">
      <c r="B164" s="238"/>
      <c r="C164" s="238"/>
      <c r="D164" s="238"/>
      <c r="E164" s="238"/>
      <c r="F164" s="238"/>
    </row>
    <row r="165" spans="2:6" s="248" customFormat="1" ht="15.5" hidden="1" x14ac:dyDescent="0.35">
      <c r="B165" s="238"/>
      <c r="C165" s="238"/>
      <c r="D165" s="238"/>
      <c r="E165" s="238"/>
      <c r="F165" s="238"/>
    </row>
    <row r="166" spans="2:6" s="248" customFormat="1" ht="15.5" hidden="1" x14ac:dyDescent="0.35">
      <c r="B166" s="238"/>
      <c r="C166" s="238"/>
      <c r="D166" s="238"/>
      <c r="E166" s="238"/>
      <c r="F166" s="238"/>
    </row>
    <row r="167" spans="2:6" s="248" customFormat="1" ht="15.5" hidden="1" x14ac:dyDescent="0.35">
      <c r="B167" s="238"/>
      <c r="C167" s="238"/>
      <c r="D167" s="238"/>
      <c r="E167" s="238"/>
      <c r="F167" s="238"/>
    </row>
    <row r="168" spans="2:6" s="248" customFormat="1" ht="15.5" hidden="1" x14ac:dyDescent="0.35">
      <c r="B168" s="238"/>
      <c r="C168" s="238"/>
      <c r="D168" s="238"/>
      <c r="E168" s="238"/>
      <c r="F168" s="238"/>
    </row>
    <row r="169" spans="2:6" s="248" customFormat="1" ht="15.5" hidden="1" x14ac:dyDescent="0.35">
      <c r="B169" s="238"/>
      <c r="C169" s="238"/>
      <c r="D169" s="238"/>
      <c r="E169" s="238"/>
      <c r="F169" s="238"/>
    </row>
    <row r="170" spans="2:6" s="248" customFormat="1" ht="15.5" hidden="1" x14ac:dyDescent="0.35">
      <c r="B170" s="238"/>
      <c r="C170" s="238"/>
      <c r="D170" s="238"/>
      <c r="E170" s="238"/>
      <c r="F170" s="238"/>
    </row>
    <row r="171" spans="2:6" s="248" customFormat="1" ht="15.5" hidden="1" x14ac:dyDescent="0.35">
      <c r="B171" s="238"/>
      <c r="C171" s="238"/>
      <c r="D171" s="238"/>
      <c r="E171" s="238"/>
      <c r="F171" s="238"/>
    </row>
    <row r="172" spans="2:6" s="248" customFormat="1" ht="15.5" hidden="1" x14ac:dyDescent="0.35">
      <c r="B172" s="238"/>
      <c r="C172" s="238"/>
      <c r="D172" s="238"/>
      <c r="E172" s="238"/>
      <c r="F172" s="238"/>
    </row>
    <row r="173" spans="2:6" s="248" customFormat="1" ht="15.5" hidden="1" x14ac:dyDescent="0.35">
      <c r="B173" s="238"/>
      <c r="C173" s="238"/>
      <c r="D173" s="238"/>
      <c r="E173" s="238"/>
      <c r="F173" s="238"/>
    </row>
    <row r="174" spans="2:6" s="248" customFormat="1" ht="15.5" hidden="1" x14ac:dyDescent="0.35">
      <c r="B174" s="238"/>
      <c r="C174" s="238"/>
      <c r="D174" s="238"/>
      <c r="E174" s="238"/>
      <c r="F174" s="238"/>
    </row>
    <row r="175" spans="2:6" s="248" customFormat="1" ht="15.5" hidden="1" x14ac:dyDescent="0.35">
      <c r="B175" s="238"/>
      <c r="C175" s="238"/>
      <c r="D175" s="238"/>
      <c r="E175" s="238"/>
      <c r="F175" s="238"/>
    </row>
    <row r="176" spans="2:6" s="248" customFormat="1" ht="15.5" hidden="1" x14ac:dyDescent="0.35">
      <c r="B176" s="238"/>
      <c r="C176" s="238"/>
      <c r="D176" s="238"/>
      <c r="E176" s="238"/>
      <c r="F176" s="238"/>
    </row>
    <row r="177" spans="2:6" s="248" customFormat="1" ht="15.5" hidden="1" x14ac:dyDescent="0.35">
      <c r="B177" s="238"/>
      <c r="C177" s="238"/>
      <c r="D177" s="238"/>
      <c r="E177" s="238"/>
      <c r="F177" s="238"/>
    </row>
    <row r="178" spans="2:6" s="248" customFormat="1" ht="15.5" hidden="1" x14ac:dyDescent="0.35">
      <c r="B178" s="238"/>
      <c r="C178" s="238"/>
      <c r="D178" s="238"/>
      <c r="E178" s="238"/>
      <c r="F178" s="238"/>
    </row>
    <row r="179" spans="2:6" s="248" customFormat="1" ht="15.5" hidden="1" x14ac:dyDescent="0.35">
      <c r="B179" s="238"/>
      <c r="C179" s="238"/>
      <c r="D179" s="238"/>
      <c r="E179" s="238"/>
      <c r="F179" s="238"/>
    </row>
    <row r="180" spans="2:6" s="248" customFormat="1" ht="15.5" hidden="1" x14ac:dyDescent="0.35">
      <c r="B180" s="238"/>
      <c r="C180" s="238"/>
      <c r="D180" s="238"/>
      <c r="E180" s="238"/>
      <c r="F180" s="238"/>
    </row>
    <row r="181" spans="2:6" s="248" customFormat="1" ht="15.5" hidden="1" x14ac:dyDescent="0.35">
      <c r="B181" s="238"/>
      <c r="C181" s="238"/>
      <c r="D181" s="238"/>
      <c r="E181" s="238"/>
      <c r="F181" s="238"/>
    </row>
    <row r="182" spans="2:6" s="248" customFormat="1" ht="15.5" hidden="1" x14ac:dyDescent="0.35">
      <c r="B182" s="238"/>
      <c r="C182" s="238"/>
      <c r="D182" s="238"/>
      <c r="E182" s="238"/>
      <c r="F182" s="238"/>
    </row>
    <row r="183" spans="2:6" s="248" customFormat="1" ht="15.5" hidden="1" x14ac:dyDescent="0.35">
      <c r="B183" s="238"/>
      <c r="C183" s="238"/>
      <c r="D183" s="238"/>
      <c r="E183" s="238"/>
      <c r="F183" s="238"/>
    </row>
    <row r="184" spans="2:6" s="248" customFormat="1" ht="15.5" hidden="1" x14ac:dyDescent="0.35">
      <c r="B184" s="238"/>
      <c r="C184" s="238"/>
      <c r="D184" s="238"/>
      <c r="E184" s="238"/>
      <c r="F184" s="238"/>
    </row>
    <row r="185" spans="2:6" s="248" customFormat="1" ht="15.5" hidden="1" x14ac:dyDescent="0.35">
      <c r="B185" s="238"/>
      <c r="C185" s="238"/>
      <c r="D185" s="238"/>
      <c r="E185" s="238"/>
      <c r="F185" s="238"/>
    </row>
    <row r="186" spans="2:6" s="248" customFormat="1" ht="15.5" hidden="1" x14ac:dyDescent="0.35">
      <c r="B186" s="238"/>
      <c r="C186" s="238"/>
      <c r="D186" s="238"/>
      <c r="E186" s="238"/>
      <c r="F186" s="238"/>
    </row>
    <row r="187" spans="2:6" s="248" customFormat="1" ht="15.5" hidden="1" x14ac:dyDescent="0.35">
      <c r="B187" s="238"/>
      <c r="C187" s="238"/>
      <c r="D187" s="238"/>
      <c r="E187" s="238"/>
      <c r="F187" s="238"/>
    </row>
    <row r="188" spans="2:6" s="248" customFormat="1" ht="15.5" hidden="1" x14ac:dyDescent="0.35">
      <c r="B188" s="238"/>
      <c r="C188" s="238"/>
      <c r="D188" s="238"/>
      <c r="E188" s="238"/>
      <c r="F188" s="238"/>
    </row>
    <row r="189" spans="2:6" s="248" customFormat="1" ht="15.5" hidden="1" x14ac:dyDescent="0.35">
      <c r="B189" s="238"/>
      <c r="C189" s="238"/>
      <c r="D189" s="238"/>
      <c r="E189" s="238"/>
      <c r="F189" s="238"/>
    </row>
    <row r="190" spans="2:6" s="248" customFormat="1" ht="15.5" hidden="1" x14ac:dyDescent="0.35">
      <c r="B190" s="238"/>
      <c r="C190" s="238"/>
      <c r="D190" s="238"/>
      <c r="E190" s="238"/>
      <c r="F190" s="238"/>
    </row>
    <row r="191" spans="2:6" s="248" customFormat="1" ht="15.5" hidden="1" x14ac:dyDescent="0.35">
      <c r="B191" s="238"/>
      <c r="C191" s="238"/>
      <c r="D191" s="238"/>
      <c r="E191" s="238"/>
      <c r="F191" s="238"/>
    </row>
    <row r="192" spans="2:6" s="248" customFormat="1" ht="15.5" hidden="1" x14ac:dyDescent="0.35">
      <c r="B192" s="238"/>
      <c r="C192" s="238"/>
      <c r="D192" s="238"/>
      <c r="E192" s="238"/>
      <c r="F192" s="238"/>
    </row>
    <row r="193" spans="2:6" s="248" customFormat="1" ht="15.5" hidden="1" x14ac:dyDescent="0.35">
      <c r="B193" s="238"/>
      <c r="C193" s="238"/>
      <c r="D193" s="238"/>
      <c r="E193" s="238"/>
      <c r="F193" s="238"/>
    </row>
    <row r="194" spans="2:6" ht="15.5" hidden="1" x14ac:dyDescent="0.35"/>
    <row r="195" spans="2:6" ht="15.5" hidden="1" x14ac:dyDescent="0.35"/>
    <row r="196" spans="2:6" ht="15.5" hidden="1" x14ac:dyDescent="0.35"/>
    <row r="197" spans="2:6" ht="15.5" hidden="1" x14ac:dyDescent="0.35"/>
    <row r="198" spans="2:6" ht="15.5" hidden="1" x14ac:dyDescent="0.35"/>
    <row r="199" spans="2:6" ht="15.5" hidden="1" x14ac:dyDescent="0.35"/>
    <row r="200" spans="2:6" ht="15.5" hidden="1" x14ac:dyDescent="0.35"/>
    <row r="201" spans="2:6" ht="15.5" hidden="1" x14ac:dyDescent="0.35"/>
    <row r="202" spans="2:6" ht="15.5" hidden="1" x14ac:dyDescent="0.35"/>
    <row r="203" spans="2:6" ht="15.5" hidden="1" x14ac:dyDescent="0.35"/>
    <row r="204" spans="2:6" ht="15.5" hidden="1" x14ac:dyDescent="0.35"/>
    <row r="205" spans="2:6" ht="15.5" hidden="1" x14ac:dyDescent="0.35"/>
    <row r="206" spans="2:6" s="248" customFormat="1" ht="15.5" hidden="1" x14ac:dyDescent="0.35">
      <c r="B206" s="238"/>
      <c r="C206" s="238"/>
      <c r="D206" s="238"/>
      <c r="E206" s="238"/>
      <c r="F206" s="238"/>
    </row>
    <row r="207" spans="2:6" s="248" customFormat="1" ht="15.5" hidden="1" x14ac:dyDescent="0.35">
      <c r="B207" s="238"/>
      <c r="C207" s="238"/>
      <c r="D207" s="238"/>
      <c r="E207" s="238"/>
      <c r="F207" s="238"/>
    </row>
    <row r="208" spans="2:6" s="248" customFormat="1" ht="15.5" hidden="1" x14ac:dyDescent="0.35">
      <c r="B208" s="238"/>
      <c r="C208" s="238"/>
      <c r="D208" s="238"/>
      <c r="E208" s="238"/>
      <c r="F208" s="238"/>
    </row>
    <row r="209" spans="2:6" s="248" customFormat="1" ht="15.5" hidden="1" x14ac:dyDescent="0.35">
      <c r="B209" s="238"/>
      <c r="C209" s="238"/>
      <c r="D209" s="238"/>
      <c r="E209" s="238"/>
      <c r="F209" s="238"/>
    </row>
    <row r="210" spans="2:6" s="248" customFormat="1" ht="15.5" hidden="1" x14ac:dyDescent="0.35">
      <c r="B210" s="238"/>
      <c r="C210" s="238"/>
      <c r="D210" s="238"/>
      <c r="E210" s="238"/>
      <c r="F210" s="238"/>
    </row>
    <row r="211" spans="2:6" s="248" customFormat="1" ht="15.5" hidden="1" x14ac:dyDescent="0.35">
      <c r="B211" s="238"/>
      <c r="C211" s="238"/>
      <c r="D211" s="238"/>
      <c r="E211" s="238"/>
      <c r="F211" s="238"/>
    </row>
    <row r="212" spans="2:6" s="248" customFormat="1" ht="15.5" hidden="1" x14ac:dyDescent="0.35">
      <c r="B212" s="238"/>
      <c r="C212" s="238"/>
      <c r="D212" s="238"/>
      <c r="E212" s="238"/>
      <c r="F212" s="238"/>
    </row>
    <row r="213" spans="2:6" s="248" customFormat="1" ht="15.5" hidden="1" x14ac:dyDescent="0.35">
      <c r="B213" s="238"/>
      <c r="C213" s="238"/>
      <c r="D213" s="238"/>
      <c r="E213" s="238"/>
      <c r="F213" s="238"/>
    </row>
    <row r="214" spans="2:6" s="248" customFormat="1" ht="15.5" hidden="1" x14ac:dyDescent="0.35">
      <c r="B214" s="238"/>
      <c r="C214" s="238"/>
      <c r="D214" s="238"/>
      <c r="E214" s="238"/>
      <c r="F214" s="238"/>
    </row>
    <row r="215" spans="2:6" ht="15.5" hidden="1" x14ac:dyDescent="0.35"/>
    <row r="216" spans="2:6" ht="15.5" hidden="1" x14ac:dyDescent="0.35"/>
    <row r="217" spans="2:6" s="248" customFormat="1" ht="15.5" hidden="1" x14ac:dyDescent="0.35">
      <c r="B217" s="238"/>
      <c r="C217" s="238"/>
      <c r="D217" s="238"/>
      <c r="E217" s="238"/>
      <c r="F217" s="238"/>
    </row>
    <row r="218" spans="2:6" s="248" customFormat="1" ht="15.5" hidden="1" x14ac:dyDescent="0.35">
      <c r="B218" s="238"/>
      <c r="C218" s="238"/>
      <c r="D218" s="238"/>
      <c r="E218" s="238"/>
      <c r="F218" s="238"/>
    </row>
    <row r="219" spans="2:6" s="248" customFormat="1" ht="15.5" hidden="1" x14ac:dyDescent="0.35">
      <c r="B219" s="238"/>
      <c r="C219" s="238"/>
      <c r="D219" s="238"/>
      <c r="E219" s="238"/>
      <c r="F219" s="238"/>
    </row>
    <row r="220" spans="2:6" s="248" customFormat="1" ht="15.5" hidden="1" x14ac:dyDescent="0.35">
      <c r="B220" s="238"/>
      <c r="C220" s="238"/>
      <c r="D220" s="238"/>
      <c r="E220" s="238"/>
      <c r="F220" s="238"/>
    </row>
    <row r="221" spans="2:6" s="248" customFormat="1" ht="15.5" hidden="1" x14ac:dyDescent="0.35">
      <c r="B221" s="238"/>
      <c r="C221" s="238"/>
      <c r="D221" s="238"/>
      <c r="E221" s="238"/>
      <c r="F221" s="238"/>
    </row>
    <row r="222" spans="2:6" s="248" customFormat="1" ht="15.5" hidden="1" x14ac:dyDescent="0.35">
      <c r="B222" s="238"/>
      <c r="C222" s="238"/>
      <c r="D222" s="238"/>
      <c r="E222" s="238"/>
      <c r="F222" s="238"/>
    </row>
    <row r="223" spans="2:6" s="248" customFormat="1" ht="15.5" hidden="1" x14ac:dyDescent="0.35">
      <c r="B223" s="238"/>
      <c r="C223" s="238"/>
      <c r="D223" s="238"/>
      <c r="E223" s="238"/>
      <c r="F223" s="238"/>
    </row>
    <row r="224" spans="2:6" s="248" customFormat="1" ht="15.5" hidden="1" x14ac:dyDescent="0.35">
      <c r="B224" s="238"/>
      <c r="C224" s="238"/>
      <c r="D224" s="238"/>
      <c r="E224" s="238"/>
      <c r="F224" s="238"/>
    </row>
    <row r="225" spans="2:6" s="248" customFormat="1" ht="15.5" hidden="1" x14ac:dyDescent="0.35">
      <c r="B225" s="238"/>
      <c r="C225" s="238"/>
      <c r="D225" s="238"/>
      <c r="E225" s="238"/>
      <c r="F225" s="238"/>
    </row>
    <row r="226" spans="2:6" s="248" customFormat="1" ht="15.5" hidden="1" x14ac:dyDescent="0.35">
      <c r="B226" s="238"/>
      <c r="C226" s="238"/>
      <c r="D226" s="238"/>
      <c r="E226" s="238"/>
      <c r="F226" s="238"/>
    </row>
    <row r="227" spans="2:6" s="248" customFormat="1" ht="15.5" hidden="1" x14ac:dyDescent="0.35">
      <c r="B227" s="238"/>
      <c r="C227" s="238"/>
      <c r="D227" s="238"/>
      <c r="E227" s="238"/>
      <c r="F227" s="238"/>
    </row>
    <row r="228" spans="2:6" s="248" customFormat="1" ht="15.5" hidden="1" x14ac:dyDescent="0.35">
      <c r="B228" s="238"/>
      <c r="C228" s="238"/>
      <c r="D228" s="238"/>
      <c r="E228" s="238"/>
      <c r="F228" s="238"/>
    </row>
    <row r="229" spans="2:6" s="248" customFormat="1" ht="15.5" hidden="1" x14ac:dyDescent="0.35">
      <c r="B229" s="238"/>
      <c r="C229" s="238"/>
      <c r="D229" s="238"/>
      <c r="E229" s="238"/>
      <c r="F229" s="238"/>
    </row>
    <row r="230" spans="2:6" s="248" customFormat="1" ht="15.5" hidden="1" x14ac:dyDescent="0.35">
      <c r="B230" s="238"/>
      <c r="C230" s="238"/>
      <c r="D230" s="238"/>
      <c r="E230" s="238"/>
      <c r="F230" s="238"/>
    </row>
    <row r="231" spans="2:6" s="248" customFormat="1" ht="15.5" hidden="1" x14ac:dyDescent="0.35">
      <c r="B231" s="238"/>
      <c r="C231" s="238"/>
      <c r="D231" s="238"/>
      <c r="E231" s="238"/>
      <c r="F231" s="238"/>
    </row>
    <row r="232" spans="2:6" s="248" customFormat="1" ht="15.5" hidden="1" x14ac:dyDescent="0.35">
      <c r="B232" s="238"/>
      <c r="C232" s="238"/>
      <c r="D232" s="238"/>
      <c r="E232" s="238"/>
      <c r="F232" s="238"/>
    </row>
    <row r="233" spans="2:6" s="248" customFormat="1" ht="15.5" hidden="1" x14ac:dyDescent="0.35">
      <c r="B233" s="238"/>
      <c r="C233" s="238"/>
      <c r="D233" s="238"/>
      <c r="E233" s="238"/>
      <c r="F233" s="238"/>
    </row>
    <row r="234" spans="2:6" s="248" customFormat="1" ht="15.5" hidden="1" x14ac:dyDescent="0.35">
      <c r="B234" s="238"/>
      <c r="C234" s="238"/>
      <c r="D234" s="238"/>
      <c r="E234" s="238"/>
      <c r="F234" s="238"/>
    </row>
    <row r="235" spans="2:6" s="248" customFormat="1" ht="15.5" hidden="1" x14ac:dyDescent="0.35">
      <c r="B235" s="238"/>
      <c r="C235" s="238"/>
      <c r="D235" s="238"/>
      <c r="E235" s="238"/>
      <c r="F235" s="238"/>
    </row>
    <row r="236" spans="2:6" s="248" customFormat="1" ht="15.5" hidden="1" x14ac:dyDescent="0.35">
      <c r="B236" s="238"/>
      <c r="C236" s="238"/>
      <c r="D236" s="238"/>
      <c r="E236" s="238"/>
      <c r="F236" s="238"/>
    </row>
    <row r="237" spans="2:6" s="248" customFormat="1" ht="15.5" hidden="1" x14ac:dyDescent="0.35">
      <c r="B237" s="238"/>
      <c r="C237" s="238"/>
      <c r="D237" s="238"/>
      <c r="E237" s="238"/>
      <c r="F237" s="238"/>
    </row>
    <row r="238" spans="2:6" s="248" customFormat="1" ht="15.5" hidden="1" x14ac:dyDescent="0.35">
      <c r="B238" s="238"/>
      <c r="C238" s="238"/>
      <c r="D238" s="238"/>
      <c r="E238" s="238"/>
      <c r="F238" s="238"/>
    </row>
    <row r="239" spans="2:6" s="248" customFormat="1" ht="15.5" hidden="1" x14ac:dyDescent="0.35">
      <c r="B239" s="238"/>
      <c r="C239" s="238"/>
      <c r="D239" s="238"/>
      <c r="E239" s="238"/>
      <c r="F239" s="238"/>
    </row>
    <row r="240" spans="2:6" s="248" customFormat="1" ht="15.5" hidden="1" x14ac:dyDescent="0.35">
      <c r="B240" s="238"/>
      <c r="C240" s="238"/>
      <c r="D240" s="238"/>
      <c r="E240" s="238"/>
      <c r="F240" s="238"/>
    </row>
    <row r="241" spans="2:6" s="248" customFormat="1" ht="15.5" hidden="1" x14ac:dyDescent="0.35">
      <c r="B241" s="238"/>
      <c r="C241" s="238"/>
      <c r="D241" s="238"/>
      <c r="E241" s="238"/>
      <c r="F241" s="238"/>
    </row>
    <row r="242" spans="2:6" s="248" customFormat="1" ht="15.5" hidden="1" x14ac:dyDescent="0.35">
      <c r="B242" s="238"/>
      <c r="C242" s="238"/>
      <c r="D242" s="238"/>
      <c r="E242" s="238"/>
      <c r="F242" s="238"/>
    </row>
    <row r="243" spans="2:6" s="248" customFormat="1" ht="15.5" hidden="1" x14ac:dyDescent="0.35">
      <c r="B243" s="238"/>
      <c r="C243" s="238"/>
      <c r="D243" s="238"/>
      <c r="E243" s="238"/>
      <c r="F243" s="238"/>
    </row>
    <row r="244" spans="2:6" s="248" customFormat="1" ht="15.5" hidden="1" x14ac:dyDescent="0.35">
      <c r="B244" s="238"/>
      <c r="C244" s="238"/>
      <c r="D244" s="238"/>
      <c r="E244" s="238"/>
      <c r="F244" s="238"/>
    </row>
    <row r="245" spans="2:6" s="248" customFormat="1" ht="15.5" hidden="1" x14ac:dyDescent="0.35">
      <c r="B245" s="238"/>
      <c r="C245" s="238"/>
      <c r="D245" s="238"/>
      <c r="E245" s="238"/>
      <c r="F245" s="238"/>
    </row>
    <row r="246" spans="2:6" s="248" customFormat="1" ht="15.5" hidden="1" x14ac:dyDescent="0.35">
      <c r="B246" s="238"/>
      <c r="C246" s="238"/>
      <c r="D246" s="238"/>
      <c r="E246" s="238"/>
      <c r="F246" s="238"/>
    </row>
    <row r="247" spans="2:6" s="248" customFormat="1" ht="15.5" hidden="1" x14ac:dyDescent="0.35">
      <c r="B247" s="238"/>
      <c r="C247" s="238"/>
      <c r="D247" s="238"/>
      <c r="E247" s="238"/>
      <c r="F247" s="238"/>
    </row>
    <row r="248" spans="2:6" s="248" customFormat="1" ht="15.5" hidden="1" x14ac:dyDescent="0.35">
      <c r="B248" s="238"/>
      <c r="C248" s="238"/>
      <c r="D248" s="238"/>
      <c r="E248" s="238"/>
      <c r="F248" s="238"/>
    </row>
    <row r="249" spans="2:6" s="248" customFormat="1" ht="15.5" hidden="1" x14ac:dyDescent="0.35">
      <c r="B249" s="238"/>
      <c r="C249" s="238"/>
      <c r="D249" s="238"/>
      <c r="E249" s="238"/>
      <c r="F249" s="238"/>
    </row>
    <row r="250" spans="2:6" s="248" customFormat="1" ht="15.5" hidden="1" x14ac:dyDescent="0.35">
      <c r="B250" s="238"/>
      <c r="C250" s="238"/>
      <c r="D250" s="238"/>
      <c r="E250" s="238"/>
      <c r="F250" s="238"/>
    </row>
    <row r="251" spans="2:6" s="248" customFormat="1" ht="15.5" hidden="1" x14ac:dyDescent="0.35">
      <c r="B251" s="238"/>
      <c r="C251" s="238"/>
      <c r="D251" s="238"/>
      <c r="E251" s="238"/>
      <c r="F251" s="238"/>
    </row>
    <row r="252" spans="2:6" s="248" customFormat="1" ht="15.5" hidden="1" x14ac:dyDescent="0.35">
      <c r="B252" s="238"/>
      <c r="C252" s="238"/>
      <c r="D252" s="238"/>
      <c r="E252" s="238"/>
      <c r="F252" s="238"/>
    </row>
    <row r="253" spans="2:6" s="248" customFormat="1" ht="15.5" hidden="1" x14ac:dyDescent="0.35">
      <c r="B253" s="238"/>
      <c r="C253" s="238"/>
      <c r="D253" s="238"/>
      <c r="E253" s="238"/>
      <c r="F253" s="238"/>
    </row>
    <row r="254" spans="2:6" s="248" customFormat="1" ht="15.5" hidden="1" x14ac:dyDescent="0.35">
      <c r="B254" s="238"/>
      <c r="C254" s="238"/>
      <c r="D254" s="238"/>
      <c r="E254" s="238"/>
      <c r="F254" s="238"/>
    </row>
    <row r="255" spans="2:6" s="248" customFormat="1" ht="15.5" hidden="1" x14ac:dyDescent="0.35">
      <c r="B255" s="238"/>
      <c r="C255" s="238"/>
      <c r="D255" s="238"/>
      <c r="E255" s="238"/>
      <c r="F255" s="238"/>
    </row>
    <row r="256" spans="2:6" s="248" customFormat="1" ht="15.5" hidden="1" x14ac:dyDescent="0.35">
      <c r="B256" s="238"/>
      <c r="C256" s="238"/>
      <c r="D256" s="238"/>
      <c r="E256" s="238"/>
      <c r="F256" s="238"/>
    </row>
    <row r="257" spans="2:6" s="248" customFormat="1" ht="15.5" hidden="1" x14ac:dyDescent="0.35">
      <c r="B257" s="238"/>
      <c r="C257" s="238"/>
      <c r="D257" s="238"/>
      <c r="E257" s="238"/>
      <c r="F257" s="238"/>
    </row>
    <row r="258" spans="2:6" s="248" customFormat="1" ht="15.5" hidden="1" x14ac:dyDescent="0.35">
      <c r="B258" s="238"/>
      <c r="C258" s="238"/>
      <c r="D258" s="238"/>
      <c r="E258" s="238"/>
      <c r="F258" s="238"/>
    </row>
    <row r="259" spans="2:6" s="248" customFormat="1" ht="15.5" hidden="1" x14ac:dyDescent="0.35">
      <c r="B259" s="238"/>
      <c r="C259" s="238"/>
      <c r="D259" s="238"/>
      <c r="E259" s="238"/>
      <c r="F259" s="238"/>
    </row>
    <row r="260" spans="2:6" s="248" customFormat="1" ht="15.5" hidden="1" x14ac:dyDescent="0.35">
      <c r="B260" s="238"/>
      <c r="C260" s="238"/>
      <c r="D260" s="238"/>
      <c r="E260" s="238"/>
      <c r="F260" s="238"/>
    </row>
    <row r="261" spans="2:6" s="248" customFormat="1" ht="15.5" hidden="1" x14ac:dyDescent="0.35">
      <c r="B261" s="238"/>
      <c r="C261" s="238"/>
      <c r="D261" s="238"/>
      <c r="E261" s="238"/>
      <c r="F261" s="238"/>
    </row>
    <row r="262" spans="2:6" s="248" customFormat="1" ht="15.5" hidden="1" x14ac:dyDescent="0.35">
      <c r="B262" s="238"/>
      <c r="C262" s="238"/>
      <c r="D262" s="238"/>
      <c r="E262" s="238"/>
      <c r="F262" s="238"/>
    </row>
    <row r="263" spans="2:6" s="248" customFormat="1" ht="15.5" hidden="1" x14ac:dyDescent="0.35">
      <c r="B263" s="238"/>
      <c r="C263" s="238"/>
      <c r="D263" s="238"/>
      <c r="E263" s="238"/>
      <c r="F263" s="238"/>
    </row>
    <row r="264" spans="2:6" s="248" customFormat="1" ht="15.5" hidden="1" x14ac:dyDescent="0.35">
      <c r="B264" s="238"/>
      <c r="C264" s="238"/>
      <c r="D264" s="238"/>
      <c r="E264" s="238"/>
      <c r="F264" s="238"/>
    </row>
    <row r="265" spans="2:6" s="248" customFormat="1" ht="15.5" hidden="1" x14ac:dyDescent="0.35">
      <c r="B265" s="238"/>
      <c r="C265" s="238"/>
      <c r="D265" s="238"/>
      <c r="E265" s="238"/>
      <c r="F265" s="238"/>
    </row>
    <row r="266" spans="2:6" s="248" customFormat="1" ht="15.5" hidden="1" x14ac:dyDescent="0.35">
      <c r="B266" s="238"/>
      <c r="C266" s="238"/>
      <c r="D266" s="238"/>
      <c r="E266" s="238"/>
      <c r="F266" s="238"/>
    </row>
    <row r="267" spans="2:6" s="248" customFormat="1" ht="15.5" hidden="1" x14ac:dyDescent="0.35">
      <c r="B267" s="238"/>
      <c r="C267" s="238"/>
      <c r="D267" s="238"/>
      <c r="E267" s="238"/>
      <c r="F267" s="238"/>
    </row>
    <row r="268" spans="2:6" s="248" customFormat="1" ht="15.5" hidden="1" x14ac:dyDescent="0.35">
      <c r="B268" s="238"/>
      <c r="C268" s="238"/>
      <c r="D268" s="238"/>
      <c r="E268" s="238"/>
      <c r="F268" s="238"/>
    </row>
    <row r="269" spans="2:6" s="248" customFormat="1" ht="15.5" hidden="1" x14ac:dyDescent="0.35">
      <c r="B269" s="238"/>
      <c r="C269" s="238"/>
      <c r="D269" s="238"/>
      <c r="E269" s="238"/>
      <c r="F269" s="238"/>
    </row>
    <row r="270" spans="2:6" s="248" customFormat="1" ht="15.5" hidden="1" x14ac:dyDescent="0.35">
      <c r="B270" s="238"/>
      <c r="C270" s="238"/>
      <c r="D270" s="238"/>
      <c r="E270" s="238"/>
      <c r="F270" s="238"/>
    </row>
    <row r="271" spans="2:6" s="248" customFormat="1" ht="15.5" hidden="1" x14ac:dyDescent="0.35">
      <c r="B271" s="238"/>
      <c r="C271" s="238"/>
      <c r="D271" s="238"/>
      <c r="E271" s="238"/>
      <c r="F271" s="238"/>
    </row>
    <row r="272" spans="2:6" s="248" customFormat="1" ht="15.5" hidden="1" x14ac:dyDescent="0.35">
      <c r="B272" s="238"/>
      <c r="C272" s="238"/>
      <c r="D272" s="238"/>
      <c r="E272" s="238"/>
      <c r="F272" s="238"/>
    </row>
    <row r="273" spans="2:6" s="248" customFormat="1" ht="15.5" hidden="1" x14ac:dyDescent="0.35">
      <c r="B273" s="238"/>
      <c r="C273" s="238"/>
      <c r="D273" s="238"/>
      <c r="E273" s="238"/>
      <c r="F273" s="238"/>
    </row>
    <row r="274" spans="2:6" s="248" customFormat="1" ht="15.5" hidden="1" x14ac:dyDescent="0.35">
      <c r="B274" s="238"/>
      <c r="C274" s="238"/>
      <c r="D274" s="238"/>
      <c r="E274" s="238"/>
      <c r="F274" s="238"/>
    </row>
    <row r="275" spans="2:6" s="248" customFormat="1" ht="15.5" hidden="1" x14ac:dyDescent="0.35">
      <c r="B275" s="238"/>
      <c r="C275" s="238"/>
      <c r="D275" s="238"/>
      <c r="E275" s="238"/>
      <c r="F275" s="238"/>
    </row>
    <row r="276" spans="2:6" s="248" customFormat="1" ht="15.5" hidden="1" x14ac:dyDescent="0.35">
      <c r="B276" s="238"/>
      <c r="C276" s="238"/>
      <c r="D276" s="238"/>
      <c r="E276" s="238"/>
      <c r="F276" s="238"/>
    </row>
    <row r="277" spans="2:6" s="248" customFormat="1" ht="15.5" hidden="1" x14ac:dyDescent="0.35">
      <c r="B277" s="238"/>
      <c r="C277" s="238"/>
      <c r="D277" s="238"/>
      <c r="E277" s="238"/>
      <c r="F277" s="238"/>
    </row>
    <row r="278" spans="2:6" ht="15.5" hidden="1" x14ac:dyDescent="0.35"/>
    <row r="279" spans="2:6" ht="15.5" hidden="1" x14ac:dyDescent="0.35"/>
    <row r="280" spans="2:6" ht="15.5" hidden="1" x14ac:dyDescent="0.35"/>
    <row r="281" spans="2:6" ht="15.5" hidden="1" x14ac:dyDescent="0.35"/>
    <row r="282" spans="2:6" ht="15.5" hidden="1" x14ac:dyDescent="0.35"/>
    <row r="283" spans="2:6" ht="15.5" hidden="1" x14ac:dyDescent="0.35"/>
    <row r="284" spans="2:6" ht="15.5" hidden="1" x14ac:dyDescent="0.35"/>
    <row r="285" spans="2:6" ht="15.5" hidden="1" x14ac:dyDescent="0.35"/>
    <row r="286" spans="2:6" ht="15.5" hidden="1" x14ac:dyDescent="0.35"/>
    <row r="287" spans="2:6" ht="15.5" hidden="1" x14ac:dyDescent="0.35"/>
    <row r="288" spans="2:6" ht="15.5" hidden="1" x14ac:dyDescent="0.35"/>
    <row r="289" spans="2:6" ht="15.5" hidden="1" x14ac:dyDescent="0.35"/>
    <row r="290" spans="2:6" s="248" customFormat="1" ht="15.5" hidden="1" x14ac:dyDescent="0.35">
      <c r="B290" s="238"/>
      <c r="C290" s="238"/>
      <c r="D290" s="238"/>
      <c r="E290" s="238"/>
      <c r="F290" s="238"/>
    </row>
    <row r="291" spans="2:6" s="248" customFormat="1" ht="15.5" hidden="1" x14ac:dyDescent="0.35">
      <c r="B291" s="238"/>
      <c r="C291" s="238"/>
      <c r="D291" s="238"/>
      <c r="E291" s="238"/>
      <c r="F291" s="238"/>
    </row>
    <row r="292" spans="2:6" s="248" customFormat="1" ht="15.5" hidden="1" x14ac:dyDescent="0.35">
      <c r="B292" s="238"/>
      <c r="C292" s="238"/>
      <c r="D292" s="238"/>
      <c r="E292" s="238"/>
      <c r="F292" s="238"/>
    </row>
    <row r="293" spans="2:6" s="248" customFormat="1" ht="15.5" hidden="1" x14ac:dyDescent="0.35">
      <c r="B293" s="238"/>
      <c r="C293" s="238"/>
      <c r="D293" s="238"/>
      <c r="E293" s="238"/>
      <c r="F293" s="238"/>
    </row>
    <row r="294" spans="2:6" s="248" customFormat="1" ht="15.5" hidden="1" x14ac:dyDescent="0.35">
      <c r="B294" s="238"/>
      <c r="C294" s="238"/>
      <c r="D294" s="238"/>
      <c r="E294" s="238"/>
      <c r="F294" s="238"/>
    </row>
    <row r="295" spans="2:6" s="248" customFormat="1" ht="15.5" hidden="1" x14ac:dyDescent="0.35">
      <c r="B295" s="238"/>
      <c r="C295" s="238"/>
      <c r="D295" s="238"/>
      <c r="E295" s="238"/>
      <c r="F295" s="238"/>
    </row>
    <row r="296" spans="2:6" s="248" customFormat="1" ht="15.5" hidden="1" x14ac:dyDescent="0.35">
      <c r="B296" s="238"/>
      <c r="C296" s="238"/>
      <c r="D296" s="238"/>
      <c r="E296" s="238"/>
      <c r="F296" s="238"/>
    </row>
    <row r="297" spans="2:6" s="248" customFormat="1" ht="15.5" hidden="1" x14ac:dyDescent="0.35">
      <c r="B297" s="238"/>
      <c r="C297" s="238"/>
      <c r="D297" s="238"/>
      <c r="E297" s="238"/>
      <c r="F297" s="238"/>
    </row>
    <row r="298" spans="2:6" s="248" customFormat="1" ht="15.5" hidden="1" x14ac:dyDescent="0.35">
      <c r="B298" s="238"/>
      <c r="C298" s="238"/>
      <c r="D298" s="238"/>
      <c r="E298" s="238"/>
      <c r="F298" s="238"/>
    </row>
    <row r="299" spans="2:6" s="248" customFormat="1" ht="15.5" hidden="1" x14ac:dyDescent="0.35">
      <c r="B299" s="238"/>
      <c r="C299" s="238"/>
      <c r="D299" s="238"/>
      <c r="E299" s="238"/>
      <c r="F299" s="238"/>
    </row>
    <row r="300" spans="2:6" s="248" customFormat="1" ht="15.5" hidden="1" x14ac:dyDescent="0.35">
      <c r="B300" s="238"/>
      <c r="C300" s="238"/>
      <c r="D300" s="238"/>
      <c r="E300" s="238"/>
      <c r="F300" s="238"/>
    </row>
    <row r="301" spans="2:6" s="248" customFormat="1" ht="15.5" hidden="1" x14ac:dyDescent="0.35">
      <c r="B301" s="238"/>
      <c r="C301" s="238"/>
      <c r="D301" s="238"/>
      <c r="E301" s="238"/>
      <c r="F301" s="238"/>
    </row>
    <row r="302" spans="2:6" ht="15.5" hidden="1" x14ac:dyDescent="0.35"/>
    <row r="303" spans="2:6" ht="15.5" hidden="1" x14ac:dyDescent="0.35"/>
    <row r="304" spans="2:6" ht="15.5" hidden="1" x14ac:dyDescent="0.35"/>
    <row r="305" ht="15.5" hidden="1" x14ac:dyDescent="0.35"/>
    <row r="306" ht="15.5" hidden="1" x14ac:dyDescent="0.35"/>
    <row r="307" ht="15.5" hidden="1" x14ac:dyDescent="0.35"/>
    <row r="308" ht="15.5" hidden="1" x14ac:dyDescent="0.35"/>
    <row r="309" ht="15.5" hidden="1" x14ac:dyDescent="0.35"/>
    <row r="310" ht="15.5" hidden="1" x14ac:dyDescent="0.35"/>
    <row r="311" ht="15.5" hidden="1" x14ac:dyDescent="0.35"/>
    <row r="312" ht="15.5" hidden="1" x14ac:dyDescent="0.35"/>
    <row r="313" ht="15.5" hidden="1" x14ac:dyDescent="0.35"/>
    <row r="314" ht="15.5" hidden="1" x14ac:dyDescent="0.35"/>
    <row r="315" ht="15.5" hidden="1" x14ac:dyDescent="0.35"/>
    <row r="316" ht="15.5" hidden="1" x14ac:dyDescent="0.35"/>
    <row r="317" ht="15.5" hidden="1" x14ac:dyDescent="0.35"/>
    <row r="318" ht="15.5" hidden="1" x14ac:dyDescent="0.35"/>
    <row r="319" ht="15.5" hidden="1" x14ac:dyDescent="0.35"/>
    <row r="320" ht="15.5" hidden="1" x14ac:dyDescent="0.35"/>
    <row r="321" ht="15.5" hidden="1" x14ac:dyDescent="0.35"/>
    <row r="322" ht="15.5" hidden="1" x14ac:dyDescent="0.35"/>
    <row r="323" ht="15.5" hidden="1" x14ac:dyDescent="0.35"/>
    <row r="324" ht="15.5" hidden="1" x14ac:dyDescent="0.35"/>
    <row r="325" ht="15.5" hidden="1" x14ac:dyDescent="0.35"/>
    <row r="326" ht="15.5" hidden="1" x14ac:dyDescent="0.35"/>
    <row r="327" ht="15.5" hidden="1" x14ac:dyDescent="0.35"/>
    <row r="328" ht="15.5" hidden="1" x14ac:dyDescent="0.35"/>
    <row r="329" ht="15.5" hidden="1" x14ac:dyDescent="0.35"/>
    <row r="330" ht="15.5" hidden="1" x14ac:dyDescent="0.35"/>
    <row r="331" ht="15.5" hidden="1" x14ac:dyDescent="0.35"/>
    <row r="332" ht="15.5" hidden="1" x14ac:dyDescent="0.35"/>
    <row r="333" ht="15.5" hidden="1" x14ac:dyDescent="0.35"/>
  </sheetData>
  <sheetProtection algorithmName="SHA-512" hashValue="2pQjE950Lk4R85JqHXnqifTp8JfL69bvuOeQo4aa7J13CEQD9LdZRrvp0vIzPOPeM+lufAZt38Y3X4kFjE32LA==" saltValue="PUJrFoS6f/y4OIUKZXk94w==" spinCount="100000" sheet="1" selectLockedCells="1"/>
  <mergeCells count="11">
    <mergeCell ref="C57:E57"/>
    <mergeCell ref="C59:E59"/>
    <mergeCell ref="C60:E60"/>
    <mergeCell ref="C61:E61"/>
    <mergeCell ref="B1:F1"/>
    <mergeCell ref="C4:E4"/>
    <mergeCell ref="C6:E6"/>
    <mergeCell ref="C8:E8"/>
    <mergeCell ref="C55:E55"/>
    <mergeCell ref="B16:D16"/>
    <mergeCell ref="B34:D34"/>
  </mergeCells>
  <conditionalFormatting sqref="E30">
    <cfRule type="expression" dxfId="178" priority="1">
      <formula>$E$28="N"</formula>
    </cfRule>
  </conditionalFormatting>
  <dataValidations count="9">
    <dataValidation type="list" allowBlank="1" showInputMessage="1" showErrorMessage="1" sqref="E24 E22" xr:uid="{ED930656-F65D-4082-B022-36461911214C}">
      <formula1>"(select from dropdown), residential, small general service, medium general service, large general service"</formula1>
    </dataValidation>
    <dataValidation type="list" allowBlank="1" showInputMessage="1" showErrorMessage="1" sqref="C70" xr:uid="{9E6DD651-FCD3-432B-B09C-56DD51309ADB}">
      <formula1>"Low-rise, High-rise"</formula1>
    </dataValidation>
    <dataValidation type="whole" allowBlank="1" showInputMessage="1" showErrorMessage="1" sqref="C40:C52" xr:uid="{7228E923-A436-4B03-8E42-A9129A951EF4}">
      <formula1>0</formula1>
      <formula2>9999999</formula2>
    </dataValidation>
    <dataValidation type="list" allowBlank="1" showInputMessage="1" showErrorMessage="1" sqref="E34" xr:uid="{B2E5B9EC-9713-4F64-9243-1EE09EE444A3}">
      <formula1>"(Select from Dropdown), Y, N"</formula1>
    </dataValidation>
    <dataValidation type="list" allowBlank="1" showInputMessage="1" showErrorMessage="1" sqref="E10" xr:uid="{D5B33E1D-0287-439E-BE66-28B171015FB9}">
      <formula1>"(Select from Dropdown), 4, 5, 6, 7A, 7B"</formula1>
    </dataValidation>
    <dataValidation type="list" allowBlank="1" showInputMessage="1" showErrorMessage="1" sqref="C65" xr:uid="{F8880247-C97C-4ED7-9029-2F255119CF3A}">
      <formula1>"(select from dropdown),Study,Rebate Application,As-built"</formula1>
    </dataValidation>
    <dataValidation type="whole" allowBlank="1" showInputMessage="1" showErrorMessage="1" sqref="E12 E14 E16 E18 E20" xr:uid="{A115B5DB-3DBC-4125-946A-ACACEE8240DD}">
      <formula1>0</formula1>
      <formula2>999999999999999</formula2>
    </dataValidation>
    <dataValidation type="list" allowBlank="1" showInputMessage="1" showErrorMessage="1" sqref="E28" xr:uid="{96D9DF98-9C3B-454C-A27D-53ED9D8119E4}">
      <formula1>"Y,N"</formula1>
    </dataValidation>
    <dataValidation type="list" allowBlank="1" showInputMessage="1" showErrorMessage="1" sqref="E32 E30 E26" xr:uid="{54812CEF-25B9-4829-8BAD-5956317F4F36}">
      <formula1>"(select from dropdown),electricity, natural gas"</formula1>
    </dataValidation>
  </dataValidations>
  <printOptions horizontalCentered="1"/>
  <pageMargins left="0.25" right="0.25" top="1.05" bottom="0.6" header="0.25" footer="0.1"/>
  <pageSetup scale="34" fitToHeight="0" orientation="portrait" r:id="rId1"/>
  <headerFooter scaleWithDoc="0" alignWithMargins="0">
    <oddFooter>&amp;CPage &amp;P of &amp;N&amp;R&amp;G</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7B5F-F5F2-41FE-9333-D43C59C65234}">
  <sheetPr codeName="Sheet3">
    <tabColor rgb="FF9ADBE8"/>
    <pageSetUpPr fitToPage="1"/>
  </sheetPr>
  <dimension ref="B2:AK156"/>
  <sheetViews>
    <sheetView showGridLines="0" zoomScale="85" zoomScaleNormal="85" workbookViewId="0">
      <pane xSplit="1" ySplit="6" topLeftCell="C7" activePane="bottomRight" state="frozen"/>
      <selection activeCell="B9" sqref="B9:AH9"/>
      <selection pane="topRight" activeCell="B9" sqref="B9:AH9"/>
      <selection pane="bottomLeft" activeCell="B9" sqref="B9:AH9"/>
      <selection pane="bottomRight" activeCell="H7" sqref="H7"/>
    </sheetView>
  </sheetViews>
  <sheetFormatPr defaultColWidth="10.1796875" defaultRowHeight="14.5" x14ac:dyDescent="0.35"/>
  <cols>
    <col min="1" max="1" width="2.81640625" style="12" customWidth="1"/>
    <col min="2" max="2" width="4.81640625" style="12" customWidth="1"/>
    <col min="3" max="3" width="16.453125" style="12" customWidth="1"/>
    <col min="4" max="4" width="17.81640625" style="12" customWidth="1"/>
    <col min="5" max="5" width="20.1796875" style="12" customWidth="1"/>
    <col min="6" max="6" width="12" style="13" bestFit="1" customWidth="1"/>
    <col min="7" max="7" width="13.81640625" style="13" customWidth="1"/>
    <col min="8" max="8" width="41.54296875" style="13" customWidth="1"/>
    <col min="9" max="9" width="21.7265625" style="13" customWidth="1"/>
    <col min="10" max="10" width="13.81640625" style="13" hidden="1" customWidth="1"/>
    <col min="11" max="11" width="21.81640625" style="13" bestFit="1" customWidth="1"/>
    <col min="12" max="12" width="11.81640625" style="13" customWidth="1"/>
    <col min="13" max="13" width="12.1796875" style="13" customWidth="1"/>
    <col min="14" max="14" width="36.81640625" style="13" customWidth="1"/>
    <col min="15" max="15" width="33.453125" style="21" bestFit="1" customWidth="1"/>
    <col min="16" max="16" width="12.81640625" style="21" customWidth="1"/>
    <col min="17" max="17" width="12.81640625" style="21" hidden="1" customWidth="1"/>
    <col min="18" max="18" width="15.54296875" style="21" hidden="1" customWidth="1"/>
    <col min="19" max="19" width="19.453125" style="21" customWidth="1"/>
    <col min="20" max="20" width="10.81640625" style="21" hidden="1" customWidth="1"/>
    <col min="21" max="21" width="11.54296875" style="21" hidden="1" customWidth="1"/>
    <col min="22" max="22" width="13.54296875" style="12" hidden="1" customWidth="1"/>
    <col min="23" max="23" width="16.453125" style="12" hidden="1" customWidth="1"/>
    <col min="24" max="25" width="12.453125" style="12" customWidth="1"/>
    <col min="26" max="26" width="50.54296875" style="12" customWidth="1"/>
    <col min="27" max="27" width="40.54296875" style="12" hidden="1" customWidth="1"/>
    <col min="28" max="28" width="12.81640625" style="451" hidden="1" customWidth="1"/>
    <col min="29" max="29" width="30.54296875" style="12" hidden="1" customWidth="1"/>
    <col min="30" max="30" width="10.1796875" style="12" hidden="1" customWidth="1"/>
    <col min="31" max="31" width="15.453125" style="12" hidden="1" customWidth="1"/>
    <col min="32" max="32" width="12.54296875" style="12" hidden="1" customWidth="1"/>
    <col min="33" max="36" width="14.1796875" style="12" hidden="1" customWidth="1"/>
    <col min="37" max="37" width="10.1796875" style="12" hidden="1" customWidth="1"/>
    <col min="38" max="16384" width="10.1796875" style="12"/>
  </cols>
  <sheetData>
    <row r="2" spans="2:37" ht="15.5" x14ac:dyDescent="0.35">
      <c r="C2" s="442" t="s">
        <v>432</v>
      </c>
      <c r="D2" s="441"/>
      <c r="E2" s="443"/>
      <c r="F2" s="242" t="s">
        <v>198</v>
      </c>
      <c r="G2" s="234"/>
      <c r="J2" s="456"/>
    </row>
    <row r="3" spans="2:37" x14ac:dyDescent="0.35">
      <c r="D3" s="13"/>
      <c r="E3" s="13"/>
      <c r="J3" s="13" t="s">
        <v>433</v>
      </c>
      <c r="Q3" s="21" t="s">
        <v>433</v>
      </c>
      <c r="R3" s="21" t="s">
        <v>433</v>
      </c>
      <c r="T3" s="21" t="s">
        <v>433</v>
      </c>
      <c r="U3" s="21" t="s">
        <v>433</v>
      </c>
      <c r="V3" s="12" t="s">
        <v>433</v>
      </c>
      <c r="W3" s="12" t="s">
        <v>433</v>
      </c>
    </row>
    <row r="4" spans="2:37" ht="14.15" customHeight="1" x14ac:dyDescent="0.35">
      <c r="D4" s="631" t="s">
        <v>24</v>
      </c>
      <c r="E4" s="631"/>
      <c r="F4" s="631"/>
      <c r="G4" s="632"/>
      <c r="H4" s="644" t="s">
        <v>452</v>
      </c>
      <c r="I4" s="645"/>
      <c r="J4" s="645"/>
      <c r="K4" s="645"/>
      <c r="L4" s="645"/>
      <c r="M4" s="645"/>
      <c r="N4" s="645"/>
      <c r="O4" s="642" t="s">
        <v>680</v>
      </c>
      <c r="P4" s="643"/>
      <c r="Q4" s="633" t="s">
        <v>643</v>
      </c>
      <c r="R4" s="634"/>
      <c r="S4" s="634"/>
      <c r="T4" s="634"/>
      <c r="U4" s="634"/>
      <c r="V4" s="634"/>
      <c r="W4" s="634"/>
      <c r="X4" s="634"/>
      <c r="Y4" s="635"/>
      <c r="Z4" s="568"/>
      <c r="AD4" s="639" t="s">
        <v>658</v>
      </c>
      <c r="AE4" s="640"/>
      <c r="AF4" s="640"/>
      <c r="AG4" s="640"/>
      <c r="AH4" s="640"/>
      <c r="AI4" s="640"/>
      <c r="AJ4" s="640"/>
      <c r="AK4" s="641"/>
    </row>
    <row r="5" spans="2:37" x14ac:dyDescent="0.35">
      <c r="B5" s="13"/>
      <c r="C5" s="13"/>
      <c r="D5" s="631"/>
      <c r="E5" s="631"/>
      <c r="F5" s="631"/>
      <c r="G5" s="632"/>
      <c r="H5" s="644"/>
      <c r="I5" s="645"/>
      <c r="J5" s="645"/>
      <c r="K5" s="645"/>
      <c r="L5" s="645"/>
      <c r="M5" s="645"/>
      <c r="N5" s="645"/>
      <c r="O5" s="642"/>
      <c r="P5" s="643"/>
      <c r="Q5" s="636"/>
      <c r="R5" s="637"/>
      <c r="S5" s="637"/>
      <c r="T5" s="637"/>
      <c r="U5" s="637"/>
      <c r="V5" s="637"/>
      <c r="W5" s="637"/>
      <c r="X5" s="637"/>
      <c r="Y5" s="638"/>
      <c r="Z5" s="568"/>
      <c r="AA5" s="12" t="s">
        <v>433</v>
      </c>
      <c r="AB5" s="451" t="s">
        <v>433</v>
      </c>
      <c r="AC5" s="12" t="s">
        <v>433</v>
      </c>
      <c r="AD5" s="12" t="s">
        <v>433</v>
      </c>
      <c r="AE5" s="12" t="s">
        <v>433</v>
      </c>
      <c r="AF5" s="12" t="s">
        <v>433</v>
      </c>
      <c r="AG5" s="12" t="s">
        <v>433</v>
      </c>
      <c r="AH5" s="12" t="s">
        <v>433</v>
      </c>
      <c r="AI5" s="12" t="s">
        <v>433</v>
      </c>
      <c r="AK5" s="12" t="s">
        <v>433</v>
      </c>
    </row>
    <row r="6" spans="2:37" s="16" customFormat="1" ht="56.5" customHeight="1" x14ac:dyDescent="0.35">
      <c r="B6" s="493" t="s">
        <v>25</v>
      </c>
      <c r="C6" s="494" t="s">
        <v>417</v>
      </c>
      <c r="D6" s="494" t="s">
        <v>5</v>
      </c>
      <c r="E6" s="494" t="s">
        <v>26</v>
      </c>
      <c r="F6" s="494" t="s">
        <v>795</v>
      </c>
      <c r="G6" s="494" t="s">
        <v>54</v>
      </c>
      <c r="H6" s="495" t="s">
        <v>662</v>
      </c>
      <c r="I6" s="495" t="s">
        <v>796</v>
      </c>
      <c r="J6" s="495" t="s">
        <v>488</v>
      </c>
      <c r="K6" s="495" t="s">
        <v>489</v>
      </c>
      <c r="L6" s="495" t="s">
        <v>663</v>
      </c>
      <c r="M6" s="495" t="s">
        <v>661</v>
      </c>
      <c r="N6" s="495" t="s">
        <v>27</v>
      </c>
      <c r="O6" s="496" t="s">
        <v>490</v>
      </c>
      <c r="P6" s="496" t="s">
        <v>466</v>
      </c>
      <c r="Q6" s="497" t="s">
        <v>28</v>
      </c>
      <c r="R6" s="497" t="s">
        <v>29</v>
      </c>
      <c r="S6" s="498" t="s">
        <v>660</v>
      </c>
      <c r="T6" s="497" t="s">
        <v>30</v>
      </c>
      <c r="U6" s="497" t="s">
        <v>31</v>
      </c>
      <c r="V6" s="497" t="s">
        <v>32</v>
      </c>
      <c r="W6" s="497" t="s">
        <v>33</v>
      </c>
      <c r="X6" s="498" t="s">
        <v>34</v>
      </c>
      <c r="Y6" s="498" t="s">
        <v>35</v>
      </c>
      <c r="Z6" s="568" t="s">
        <v>773</v>
      </c>
      <c r="AA6" s="14" t="s">
        <v>44</v>
      </c>
      <c r="AB6" s="452" t="s">
        <v>36</v>
      </c>
      <c r="AC6" s="15" t="s">
        <v>0</v>
      </c>
      <c r="AD6" s="14" t="s">
        <v>418</v>
      </c>
      <c r="AE6" s="14" t="s">
        <v>774</v>
      </c>
      <c r="AF6" s="14" t="s">
        <v>775</v>
      </c>
      <c r="AG6" s="14" t="s">
        <v>776</v>
      </c>
      <c r="AH6" s="14" t="s">
        <v>777</v>
      </c>
      <c r="AI6" s="14" t="s">
        <v>778</v>
      </c>
      <c r="AJ6" s="14" t="s">
        <v>780</v>
      </c>
      <c r="AK6" s="14" t="s">
        <v>779</v>
      </c>
    </row>
    <row r="7" spans="2:37" ht="32.15" customHeight="1" x14ac:dyDescent="0.3">
      <c r="B7" s="458" t="str">
        <f>IF(Table1323[[#This Row],[Space Type]]="","","L-"&amp;ROW(1:1))</f>
        <v/>
      </c>
      <c r="C7" s="459"/>
      <c r="D7" s="459"/>
      <c r="E7" s="460"/>
      <c r="F7" s="461"/>
      <c r="G7" s="462" t="str">
        <f>IFERROR(IF(Table1323[[#This Row],[No]]="","",IF(Table1323[[#This Row],[Space Type]]="","select Space Type",INDEX(Table5[Hours],MATCH(Table1323[[#This Row],[Space Type]],Table5[Space Type],0)))),"")</f>
        <v/>
      </c>
      <c r="H7" s="460"/>
      <c r="I7" s="460"/>
      <c r="J7" s="613" t="str">
        <f>IFERROR(INDEX(Table1[Integrated Controls Capable],MATCH(Table1323[[#This Row],[Rebate Category]],Table1[BC Hydro Rebate Category],0)),"")</f>
        <v/>
      </c>
      <c r="K7" s="460"/>
      <c r="L7" s="570" t="str" cm="1">
        <f t="array" ref="L7">IFERROR(INDEX(Table1[Rebate],MATCH(Table1323[[#This Row],[Rebate Category]],Table1[BC Hydro Rebate Category],0))+IF(AND(Table1323[[#This Row],[Integrated Controls Capable]],Table1323[[#This Row],[Fixture Integrated Occupancy/Daylight Harvesting Sensors?]]="Yes"),Table6[],0),"")</f>
        <v/>
      </c>
      <c r="M7" s="571" t="str">
        <f>IFERROR(IF(AND(Table1323[[#This Row],[Integrated Controls Capable]],Table1323[[#This Row],[Fixture Integrated Occupancy/Daylight Harvesting Sensors?]]="Yes"),"per integrated luminaire", INDEX(Table1[Rebate Unit],MATCH(Table1323[[#This Row],[Rebate Category]],Table1[BC Hydro Rebate Category],0))),"")</f>
        <v/>
      </c>
      <c r="N7" s="207"/>
      <c r="O7" s="460"/>
      <c r="P7" s="459"/>
      <c r="Q7" s="463">
        <f>IFERROR(Table1323[[#This Row],[Rebate per luminaire, ($)]]*Table1323[[#This Row],[Quantity of luminaires or lamps]],0)</f>
        <v>0</v>
      </c>
      <c r="R7" s="464">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7" s="465" t="str">
        <f>IFERROR(IF(Table1323[[#This Row],[Quantity of luminaires or lamps]]="","",IF(Table1323[[#This Row],[Controls Rebate]]="",0,Table1323[[#This Row],[Controls Rebate]])+Table1323[[#This Row],[Lighting Rebate]]),"")</f>
        <v/>
      </c>
      <c r="T7" s="466">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7" s="467">
        <f>IFERROR(Table1323[[#This Row],[Rebate kW Savings]]*Table1323[[#This Row],[Annual hours from space type]],0)</f>
        <v>0</v>
      </c>
      <c r="V7" s="467">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7" s="467">
        <f>Table1323[[#This Row],[Rebate kWh savings]]+Table1323[[#This Row],[Controls Rebate kWh Savings]]</f>
        <v>0</v>
      </c>
      <c r="X7" s="468" t="str">
        <f>IFERROR(IF(Table1323[[#This Row],[Quantity of luminaires or lamps]]="","",Table1323[[#This Row],[Rebate kW Savings]]),0)</f>
        <v/>
      </c>
      <c r="Y7" s="469" t="str">
        <f>IFERROR(IF(Table1323[[#This Row],[Quantity of luminaires or lamps]]="","",Table1323[[#This Row],[Total Lighting Rebate Energy Savings]]),0)</f>
        <v/>
      </c>
      <c r="Z7" s="460"/>
      <c r="AA7" s="18" t="str">
        <f>IF(Table1323[[#This Row],[Selected for Implementation]]="Yes",IF(Table1323[[#This Row],[No]]="","",(CONCATENATE("Light_"&amp;Table1323[[#This Row],[Rebate Category]]&amp;Table1323[[#This Row],[LED lamp/luminaire retrofit part '#]]))),"")</f>
        <v/>
      </c>
      <c r="AB7" s="20" t="str" cm="1">
        <f t="array" ref="AB7">IFERROR(IF(Table1323[[#This Row],[Annual hours from space type]]&gt;=Table14[],Table1323[[#This Row],[Demand Savings, kW]],0),0)</f>
        <v/>
      </c>
      <c r="AC7" s="19" t="str">
        <f>IFERROR(INDEX(Table1[BC Hydro xRM ECM],MATCH(Table1323[[#This Row],[Rebate Category]],Table1[BC Hydro Rebate Category],0)),"")</f>
        <v/>
      </c>
      <c r="AD7" s="18">
        <f>IF(Table1323[[#This Row],[Selected for Implementation]]="Yes",1,0)</f>
        <v>0</v>
      </c>
      <c r="AE7" s="18" t="e">
        <f>Table1323[[#This Row],[Implement]]*Table1323[[#This Row],[Demand Savings, kW]]</f>
        <v>#VALUE!</v>
      </c>
      <c r="AF7" s="18" t="e">
        <f>Table1323[[#This Row],[Implement]]*Table1323[[#This Row],[BCH Peak kW]]</f>
        <v>#VALUE!</v>
      </c>
      <c r="AG7" s="18">
        <f>Table1323[[#This Row],[Implement]]*Table1323[[#This Row],[Rebate kWh savings]]</f>
        <v>0</v>
      </c>
      <c r="AH7" s="18">
        <f>Table1323[[#This Row],[Implement]]*Table1323[[#This Row],[Controls Rebate kWh Savings]]</f>
        <v>0</v>
      </c>
      <c r="AI7" s="233">
        <f>Table1323[[#This Row],[Implement]]*Table1323[[#This Row],[Controls Rebate]]</f>
        <v>0</v>
      </c>
      <c r="AJ7" s="569">
        <f>IF(Table1323[[#This Row],[iControls Incentives]]&gt;0,Table1323[[#This Row],[Number of  sensors]],0)</f>
        <v>0</v>
      </c>
      <c r="AK7" s="233">
        <f>Table1323[[#This Row],[Implement]]*Table1323[[#This Row],[Lighting Rebate]]</f>
        <v>0</v>
      </c>
    </row>
    <row r="8" spans="2:37" ht="32.15" customHeight="1" x14ac:dyDescent="0.3">
      <c r="B8" s="17" t="str">
        <f>IF(Table1323[[#This Row],[Space Type]]="","","L-"&amp;ROW(2:2))</f>
        <v/>
      </c>
      <c r="C8" s="459"/>
      <c r="D8" s="459"/>
      <c r="E8" s="207"/>
      <c r="F8" s="207"/>
      <c r="G8" s="208" t="str">
        <f>IFERROR(IF(Table1323[[#This Row],[No]]="","",IF(Table1323[[#This Row],[Space Type]]="","select Space Type",INDEX(Table5[Hours],MATCH(Table1323[[#This Row],[Space Type]],Table5[Space Type],0)))),"")</f>
        <v/>
      </c>
      <c r="H8" s="207"/>
      <c r="I8" s="207"/>
      <c r="J8" s="613" t="str">
        <f>IFERROR(INDEX(Table1[Integrated Controls Capable],MATCH(Table1323[[#This Row],[Rebate Category]],Table1[BC Hydro Rebate Category],0)),"")</f>
        <v/>
      </c>
      <c r="K8" s="207"/>
      <c r="L8" s="572" t="str" cm="1">
        <f t="array" ref="L8">IFERROR(INDEX(Table1[Rebate],MATCH(Table1323[[#This Row],[Rebate Category]],Table1[BC Hydro Rebate Category],0))+IF(AND(Table1323[[#This Row],[Integrated Controls Capable]],Table1323[[#This Row],[Fixture Integrated Occupancy/Daylight Harvesting Sensors?]]="Yes"),Table6[],0),"")</f>
        <v/>
      </c>
      <c r="M8" s="573" t="str">
        <f>IFERROR(IF(AND(Table1323[[#This Row],[Integrated Controls Capable]],Table1323[[#This Row],[Fixture Integrated Occupancy/Daylight Harvesting Sensors?]]="Yes"),"per integrated luminaire", INDEX(Table1[Rebate Unit],MATCH(Table1323[[#This Row],[Rebate Category]],Table1[BC Hydro Rebate Category],0))),"")</f>
        <v/>
      </c>
      <c r="N8" s="207"/>
      <c r="O8" s="207"/>
      <c r="P8" s="206"/>
      <c r="Q8" s="209">
        <f>IFERROR(Table1323[[#This Row],[Rebate per luminaire, ($)]]*Table1323[[#This Row],[Quantity of luminaires or lamps]],0)</f>
        <v>0</v>
      </c>
      <c r="R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8" s="211" t="str">
        <f>IFERROR(IF(Table1323[[#This Row],[Quantity of luminaires or lamps]]="","",IF(Table1323[[#This Row],[Controls Rebate]]="",0,Table1323[[#This Row],[Controls Rebate]])+Table1323[[#This Row],[Lighting Rebate]]),"")</f>
        <v/>
      </c>
      <c r="T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8" s="213">
        <f>IFERROR(Table1323[[#This Row],[Rebate kW Savings]]*Table1323[[#This Row],[Annual hours from space type]],0)</f>
        <v>0</v>
      </c>
      <c r="V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8" s="213">
        <f>Table1323[[#This Row],[Rebate kWh savings]]+Table1323[[#This Row],[Controls Rebate kWh Savings]]</f>
        <v>0</v>
      </c>
      <c r="X8" s="214" t="str">
        <f>IFERROR(IF(Table1323[[#This Row],[Quantity of luminaires or lamps]]="","",Table1323[[#This Row],[Rebate kW Savings]]),0)</f>
        <v/>
      </c>
      <c r="Y8" s="215" t="str">
        <f>IFERROR(IF(Table1323[[#This Row],[Quantity of luminaires or lamps]]="","",Table1323[[#This Row],[Total Lighting Rebate Energy Savings]]),0)</f>
        <v/>
      </c>
      <c r="Z8" s="207"/>
      <c r="AA8" s="18" t="str">
        <f>IF(Table1323[[#This Row],[Selected for Implementation]]="Yes",IF(Table1323[[#This Row],[No]]="","",(CONCATENATE("Light_"&amp;Table1323[[#This Row],[Rebate Category]]&amp;Table1323[[#This Row],[LED lamp/luminaire retrofit part '#]]))),"")</f>
        <v/>
      </c>
      <c r="AB8" s="20" t="str" cm="1">
        <f t="array" ref="AB8">IFERROR(IF(Table1323[[#This Row],[Annual hours from space type]]&gt;=Table14[],Table1323[[#This Row],[Demand Savings, kW]],0),0)</f>
        <v/>
      </c>
      <c r="AC8" s="19" t="str">
        <f>IFERROR(INDEX(Table1[BC Hydro xRM ECM],MATCH(Table1323[[#This Row],[Rebate Category]],Table1[BC Hydro Rebate Category],0)),"")</f>
        <v/>
      </c>
      <c r="AD8" s="18">
        <f>IF(Table1323[[#This Row],[Selected for Implementation]]="Yes",1,0)</f>
        <v>0</v>
      </c>
      <c r="AE8" s="18" t="e">
        <f>Table1323[[#This Row],[Implement]]*Table1323[[#This Row],[Demand Savings, kW]]</f>
        <v>#VALUE!</v>
      </c>
      <c r="AF8" s="18" t="e">
        <f>Table1323[[#This Row],[Implement]]*Table1323[[#This Row],[BCH Peak kW]]</f>
        <v>#VALUE!</v>
      </c>
      <c r="AG8" s="18">
        <f>Table1323[[#This Row],[Implement]]*Table1323[[#This Row],[Rebate kWh savings]]</f>
        <v>0</v>
      </c>
      <c r="AH8" s="18">
        <f>Table1323[[#This Row],[Implement]]*Table1323[[#This Row],[Controls Rebate kWh Savings]]</f>
        <v>0</v>
      </c>
      <c r="AI8" s="233">
        <f>Table1323[[#This Row],[Implement]]*Table1323[[#This Row],[Controls Rebate]]</f>
        <v>0</v>
      </c>
      <c r="AJ8" s="569">
        <f>IF(Table1323[[#This Row],[iControls Incentives]]&gt;0,Table1323[[#This Row],[Number of  sensors]],0)</f>
        <v>0</v>
      </c>
      <c r="AK8" s="233">
        <f>Table1323[[#This Row],[Implement]]*Table1323[[#This Row],[Lighting Rebate]]</f>
        <v>0</v>
      </c>
    </row>
    <row r="9" spans="2:37" ht="32.15" customHeight="1" x14ac:dyDescent="0.3">
      <c r="B9" s="17" t="str">
        <f>IF(Table1323[[#This Row],[Space Type]]="","","L-"&amp;ROW(3:3))</f>
        <v/>
      </c>
      <c r="C9" s="459"/>
      <c r="D9" s="459"/>
      <c r="E9" s="207"/>
      <c r="F9" s="207"/>
      <c r="G9" s="208" t="str">
        <f>IFERROR(IF(Table1323[[#This Row],[No]]="","",IF(Table1323[[#This Row],[Space Type]]="","select Space Type",INDEX(Table5[Hours],MATCH(Table1323[[#This Row],[Space Type]],Table5[Space Type],0)))),"")</f>
        <v/>
      </c>
      <c r="H9" s="207"/>
      <c r="I9" s="207"/>
      <c r="J9" s="613" t="str">
        <f>IFERROR(INDEX(Table1[Integrated Controls Capable],MATCH(Table1323[[#This Row],[Rebate Category]],Table1[BC Hydro Rebate Category],0)),"")</f>
        <v/>
      </c>
      <c r="K9" s="207"/>
      <c r="L9" s="572" t="str" cm="1">
        <f t="array" ref="L9">IFERROR(INDEX(Table1[Rebate],MATCH(Table1323[[#This Row],[Rebate Category]],Table1[BC Hydro Rebate Category],0))+IF(AND(Table1323[[#This Row],[Integrated Controls Capable]],Table1323[[#This Row],[Fixture Integrated Occupancy/Daylight Harvesting Sensors?]]="Yes"),Table6[],0),"")</f>
        <v/>
      </c>
      <c r="M9" s="573" t="str">
        <f>IFERROR(IF(AND(Table1323[[#This Row],[Integrated Controls Capable]],Table1323[[#This Row],[Fixture Integrated Occupancy/Daylight Harvesting Sensors?]]="Yes"),"per integrated luminaire", INDEX(Table1[Rebate Unit],MATCH(Table1323[[#This Row],[Rebate Category]],Table1[BC Hydro Rebate Category],0))),"")</f>
        <v/>
      </c>
      <c r="N9" s="207"/>
      <c r="O9" s="207"/>
      <c r="P9" s="206"/>
      <c r="Q9" s="209">
        <f>IFERROR(Table1323[[#This Row],[Rebate per luminaire, ($)]]*Table1323[[#This Row],[Quantity of luminaires or lamps]],0)</f>
        <v>0</v>
      </c>
      <c r="R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9" s="211" t="str">
        <f>IFERROR(IF(Table1323[[#This Row],[Quantity of luminaires or lamps]]="","",IF(Table1323[[#This Row],[Controls Rebate]]="",0,Table1323[[#This Row],[Controls Rebate]])+Table1323[[#This Row],[Lighting Rebate]]),"")</f>
        <v/>
      </c>
      <c r="T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9" s="213">
        <f>IFERROR(Table1323[[#This Row],[Rebate kW Savings]]*Table1323[[#This Row],[Annual hours from space type]],0)</f>
        <v>0</v>
      </c>
      <c r="V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9" s="213">
        <f>Table1323[[#This Row],[Rebate kWh savings]]+Table1323[[#This Row],[Controls Rebate kWh Savings]]</f>
        <v>0</v>
      </c>
      <c r="X9" s="214" t="str">
        <f>IFERROR(IF(Table1323[[#This Row],[Quantity of luminaires or lamps]]="","",Table1323[[#This Row],[Rebate kW Savings]]),0)</f>
        <v/>
      </c>
      <c r="Y9" s="215" t="str">
        <f>IFERROR(IF(Table1323[[#This Row],[Quantity of luminaires or lamps]]="","",Table1323[[#This Row],[Total Lighting Rebate Energy Savings]]),0)</f>
        <v/>
      </c>
      <c r="Z9" s="207"/>
      <c r="AA9" s="18" t="str">
        <f>IF(Table1323[[#This Row],[Selected for Implementation]]="Yes",IF(Table1323[[#This Row],[No]]="","",(CONCATENATE("Light_"&amp;Table1323[[#This Row],[Rebate Category]]&amp;Table1323[[#This Row],[LED lamp/luminaire retrofit part '#]]))),"")</f>
        <v/>
      </c>
      <c r="AB9" s="20" t="str" cm="1">
        <f t="array" ref="AB9">IFERROR(IF(Table1323[[#This Row],[Annual hours from space type]]&gt;=Table14[],Table1323[[#This Row],[Demand Savings, kW]],0),0)</f>
        <v/>
      </c>
      <c r="AC9" s="19" t="str">
        <f>IFERROR(INDEX(Table1[BC Hydro xRM ECM],MATCH(Table1323[[#This Row],[Rebate Category]],Table1[BC Hydro Rebate Category],0)),"")</f>
        <v/>
      </c>
      <c r="AD9" s="18">
        <f>IF(Table1323[[#This Row],[Selected for Implementation]]="Yes",1,0)</f>
        <v>0</v>
      </c>
      <c r="AE9" s="18" t="e">
        <f>Table1323[[#This Row],[Implement]]*Table1323[[#This Row],[Demand Savings, kW]]</f>
        <v>#VALUE!</v>
      </c>
      <c r="AF9" s="18" t="e">
        <f>Table1323[[#This Row],[Implement]]*Table1323[[#This Row],[BCH Peak kW]]</f>
        <v>#VALUE!</v>
      </c>
      <c r="AG9" s="18">
        <f>Table1323[[#This Row],[Implement]]*Table1323[[#This Row],[Rebate kWh savings]]</f>
        <v>0</v>
      </c>
      <c r="AH9" s="18">
        <f>Table1323[[#This Row],[Implement]]*Table1323[[#This Row],[Controls Rebate kWh Savings]]</f>
        <v>0</v>
      </c>
      <c r="AI9" s="233">
        <f>Table1323[[#This Row],[Implement]]*Table1323[[#This Row],[Controls Rebate]]</f>
        <v>0</v>
      </c>
      <c r="AJ9" s="569">
        <f>IF(Table1323[[#This Row],[iControls Incentives]]&gt;0,Table1323[[#This Row],[Number of  sensors]],0)</f>
        <v>0</v>
      </c>
      <c r="AK9" s="233">
        <f>Table1323[[#This Row],[Implement]]*Table1323[[#This Row],[Lighting Rebate]]</f>
        <v>0</v>
      </c>
    </row>
    <row r="10" spans="2:37" ht="32.15" customHeight="1" x14ac:dyDescent="0.3">
      <c r="B10" s="17" t="str">
        <f>IF(Table1323[[#This Row],[Space Type]]="","","L-"&amp;ROW(4:4))</f>
        <v/>
      </c>
      <c r="C10" s="459"/>
      <c r="D10" s="459"/>
      <c r="E10" s="207"/>
      <c r="F10" s="207"/>
      <c r="G10" s="208" t="str">
        <f>IFERROR(IF(Table1323[[#This Row],[No]]="","",IF(Table1323[[#This Row],[Space Type]]="","select Space Type",INDEX(Table5[Hours],MATCH(Table1323[[#This Row],[Space Type]],Table5[Space Type],0)))),"")</f>
        <v/>
      </c>
      <c r="H10" s="207"/>
      <c r="I10" s="207"/>
      <c r="J10" s="613" t="str">
        <f>IFERROR(INDEX(Table1[Integrated Controls Capable],MATCH(Table1323[[#This Row],[Rebate Category]],Table1[BC Hydro Rebate Category],0)),"")</f>
        <v/>
      </c>
      <c r="K10" s="207"/>
      <c r="L10" s="572" t="str" cm="1">
        <f t="array" ref="L10">IFERROR(INDEX(Table1[Rebate],MATCH(Table1323[[#This Row],[Rebate Category]],Table1[BC Hydro Rebate Category],0))+IF(AND(Table1323[[#This Row],[Integrated Controls Capable]],Table1323[[#This Row],[Fixture Integrated Occupancy/Daylight Harvesting Sensors?]]="Yes"),Table6[],0),"")</f>
        <v/>
      </c>
      <c r="M10" s="573" t="str">
        <f>IFERROR(IF(AND(Table1323[[#This Row],[Integrated Controls Capable]],Table1323[[#This Row],[Fixture Integrated Occupancy/Daylight Harvesting Sensors?]]="Yes"),"per integrated luminaire", INDEX(Table1[Rebate Unit],MATCH(Table1323[[#This Row],[Rebate Category]],Table1[BC Hydro Rebate Category],0))),"")</f>
        <v/>
      </c>
      <c r="N10" s="207"/>
      <c r="O10" s="207"/>
      <c r="P10" s="206"/>
      <c r="Q10" s="209">
        <f>IFERROR(Table1323[[#This Row],[Rebate per luminaire, ($)]]*Table1323[[#This Row],[Quantity of luminaires or lamps]],0)</f>
        <v>0</v>
      </c>
      <c r="R1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0" s="211" t="str">
        <f>IFERROR(IF(Table1323[[#This Row],[Quantity of luminaires or lamps]]="","",IF(Table1323[[#This Row],[Controls Rebate]]="",0,Table1323[[#This Row],[Controls Rebate]])+Table1323[[#This Row],[Lighting Rebate]]),"")</f>
        <v/>
      </c>
      <c r="T1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0" s="213">
        <f>IFERROR(Table1323[[#This Row],[Rebate kW Savings]]*Table1323[[#This Row],[Annual hours from space type]],0)</f>
        <v>0</v>
      </c>
      <c r="V1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0" s="213">
        <f>Table1323[[#This Row],[Rebate kWh savings]]+Table1323[[#This Row],[Controls Rebate kWh Savings]]</f>
        <v>0</v>
      </c>
      <c r="X10" s="214" t="str">
        <f>IFERROR(IF(Table1323[[#This Row],[Quantity of luminaires or lamps]]="","",Table1323[[#This Row],[Rebate kW Savings]]),0)</f>
        <v/>
      </c>
      <c r="Y10" s="215" t="str">
        <f>IFERROR(IF(Table1323[[#This Row],[Quantity of luminaires or lamps]]="","",Table1323[[#This Row],[Total Lighting Rebate Energy Savings]]),0)</f>
        <v/>
      </c>
      <c r="Z10" s="207"/>
      <c r="AA10" s="18" t="str">
        <f>IF(Table1323[[#This Row],[Selected for Implementation]]="Yes",IF(Table1323[[#This Row],[No]]="","",(CONCATENATE("Light_"&amp;Table1323[[#This Row],[Rebate Category]]&amp;Table1323[[#This Row],[LED lamp/luminaire retrofit part '#]]))),"")</f>
        <v/>
      </c>
      <c r="AB10" s="20" t="str" cm="1">
        <f t="array" ref="AB10">IFERROR(IF(Table1323[[#This Row],[Annual hours from space type]]&gt;=Table14[],Table1323[[#This Row],[Demand Savings, kW]],0),0)</f>
        <v/>
      </c>
      <c r="AC10" s="19" t="str">
        <f>IFERROR(INDEX(Table1[BC Hydro xRM ECM],MATCH(Table1323[[#This Row],[Rebate Category]],Table1[BC Hydro Rebate Category],0)),"")</f>
        <v/>
      </c>
      <c r="AD10" s="18">
        <f>IF(Table1323[[#This Row],[Selected for Implementation]]="Yes",1,0)</f>
        <v>0</v>
      </c>
      <c r="AE10" s="18" t="e">
        <f>Table1323[[#This Row],[Implement]]*Table1323[[#This Row],[Demand Savings, kW]]</f>
        <v>#VALUE!</v>
      </c>
      <c r="AF10" s="18" t="e">
        <f>Table1323[[#This Row],[Implement]]*Table1323[[#This Row],[BCH Peak kW]]</f>
        <v>#VALUE!</v>
      </c>
      <c r="AG10" s="18">
        <f>Table1323[[#This Row],[Implement]]*Table1323[[#This Row],[Rebate kWh savings]]</f>
        <v>0</v>
      </c>
      <c r="AH10" s="18">
        <f>Table1323[[#This Row],[Implement]]*Table1323[[#This Row],[Controls Rebate kWh Savings]]</f>
        <v>0</v>
      </c>
      <c r="AI10" s="233">
        <f>Table1323[[#This Row],[Implement]]*Table1323[[#This Row],[Controls Rebate]]</f>
        <v>0</v>
      </c>
      <c r="AJ10" s="569">
        <f>IF(Table1323[[#This Row],[iControls Incentives]]&gt;0,Table1323[[#This Row],[Number of  sensors]],0)</f>
        <v>0</v>
      </c>
      <c r="AK10" s="233">
        <f>Table1323[[#This Row],[Implement]]*Table1323[[#This Row],[Lighting Rebate]]</f>
        <v>0</v>
      </c>
    </row>
    <row r="11" spans="2:37" ht="32.15" customHeight="1" x14ac:dyDescent="0.3">
      <c r="B11" s="17" t="str">
        <f>IF(Table1323[[#This Row],[Space Type]]="","","L-"&amp;ROW(5:5))</f>
        <v/>
      </c>
      <c r="C11" s="206"/>
      <c r="D11" s="207"/>
      <c r="E11" s="207"/>
      <c r="F11" s="207"/>
      <c r="G11" s="208" t="str">
        <f>IFERROR(IF(Table1323[[#This Row],[No]]="","",IF(Table1323[[#This Row],[Space Type]]="","select Space Type",INDEX(Table5[Hours],MATCH(Table1323[[#This Row],[Space Type]],Table5[Space Type],0)))),"")</f>
        <v/>
      </c>
      <c r="H11" s="207"/>
      <c r="I11" s="207"/>
      <c r="J11" s="613" t="str">
        <f>IFERROR(INDEX(Table1[Integrated Controls Capable],MATCH(Table1323[[#This Row],[Rebate Category]],Table1[BC Hydro Rebate Category],0)),"")</f>
        <v/>
      </c>
      <c r="K11" s="207"/>
      <c r="L11" s="572" t="str" cm="1">
        <f t="array" ref="L11">IFERROR(INDEX(Table1[Rebate],MATCH(Table1323[[#This Row],[Rebate Category]],Table1[BC Hydro Rebate Category],0))+IF(AND(Table1323[[#This Row],[Integrated Controls Capable]],Table1323[[#This Row],[Fixture Integrated Occupancy/Daylight Harvesting Sensors?]]="Yes"),Table6[],0),"")</f>
        <v/>
      </c>
      <c r="M11" s="573" t="str">
        <f>IFERROR(IF(AND(Table1323[[#This Row],[Integrated Controls Capable]],Table1323[[#This Row],[Fixture Integrated Occupancy/Daylight Harvesting Sensors?]]="Yes"),"per integrated luminaire", INDEX(Table1[Rebate Unit],MATCH(Table1323[[#This Row],[Rebate Category]],Table1[BC Hydro Rebate Category],0))),"")</f>
        <v/>
      </c>
      <c r="N11" s="207"/>
      <c r="O11" s="207"/>
      <c r="P11" s="206"/>
      <c r="Q11" s="209">
        <f>IFERROR(Table1323[[#This Row],[Rebate per luminaire, ($)]]*Table1323[[#This Row],[Quantity of luminaires or lamps]],0)</f>
        <v>0</v>
      </c>
      <c r="R1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1" s="211" t="str">
        <f>IFERROR(IF(Table1323[[#This Row],[Quantity of luminaires or lamps]]="","",IF(Table1323[[#This Row],[Controls Rebate]]="",0,Table1323[[#This Row],[Controls Rebate]])+Table1323[[#This Row],[Lighting Rebate]]),"")</f>
        <v/>
      </c>
      <c r="T1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1" s="213">
        <f>IFERROR(Table1323[[#This Row],[Rebate kW Savings]]*Table1323[[#This Row],[Annual hours from space type]],0)</f>
        <v>0</v>
      </c>
      <c r="V1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1" s="213">
        <f>Table1323[[#This Row],[Rebate kWh savings]]+Table1323[[#This Row],[Controls Rebate kWh Savings]]</f>
        <v>0</v>
      </c>
      <c r="X11" s="214" t="str">
        <f>IFERROR(IF(Table1323[[#This Row],[Quantity of luminaires or lamps]]="","",Table1323[[#This Row],[Rebate kW Savings]]),0)</f>
        <v/>
      </c>
      <c r="Y11" s="215" t="str">
        <f>IFERROR(IF(Table1323[[#This Row],[Quantity of luminaires or lamps]]="","",Table1323[[#This Row],[Total Lighting Rebate Energy Savings]]),0)</f>
        <v/>
      </c>
      <c r="Z11" s="207"/>
      <c r="AA11" s="18" t="str">
        <f>IF(Table1323[[#This Row],[Selected for Implementation]]="Yes",IF(Table1323[[#This Row],[No]]="","",(CONCATENATE("Light_"&amp;Table1323[[#This Row],[Rebate Category]]&amp;Table1323[[#This Row],[LED lamp/luminaire retrofit part '#]]))),"")</f>
        <v/>
      </c>
      <c r="AB11" s="20" t="str" cm="1">
        <f t="array" ref="AB11">IFERROR(IF(Table1323[[#This Row],[Annual hours from space type]]&gt;=Table14[],Table1323[[#This Row],[Demand Savings, kW]],0),0)</f>
        <v/>
      </c>
      <c r="AC11" s="19" t="str">
        <f>IFERROR(INDEX(Table1[BC Hydro xRM ECM],MATCH(Table1323[[#This Row],[Rebate Category]],Table1[BC Hydro Rebate Category],0)),"")</f>
        <v/>
      </c>
      <c r="AD11" s="18">
        <f>IF(Table1323[[#This Row],[Selected for Implementation]]="Yes",1,0)</f>
        <v>0</v>
      </c>
      <c r="AE11" s="18" t="e">
        <f>Table1323[[#This Row],[Implement]]*Table1323[[#This Row],[Demand Savings, kW]]</f>
        <v>#VALUE!</v>
      </c>
      <c r="AF11" s="18" t="e">
        <f>Table1323[[#This Row],[Implement]]*Table1323[[#This Row],[BCH Peak kW]]</f>
        <v>#VALUE!</v>
      </c>
      <c r="AG11" s="18">
        <f>Table1323[[#This Row],[Implement]]*Table1323[[#This Row],[Rebate kWh savings]]</f>
        <v>0</v>
      </c>
      <c r="AH11" s="18">
        <f>Table1323[[#This Row],[Implement]]*Table1323[[#This Row],[Controls Rebate kWh Savings]]</f>
        <v>0</v>
      </c>
      <c r="AI11" s="233">
        <f>Table1323[[#This Row],[Implement]]*Table1323[[#This Row],[Controls Rebate]]</f>
        <v>0</v>
      </c>
      <c r="AJ11" s="569">
        <f>IF(Table1323[[#This Row],[iControls Incentives]]&gt;0,Table1323[[#This Row],[Number of  sensors]],0)</f>
        <v>0</v>
      </c>
      <c r="AK11" s="233">
        <f>Table1323[[#This Row],[Implement]]*Table1323[[#This Row],[Lighting Rebate]]</f>
        <v>0</v>
      </c>
    </row>
    <row r="12" spans="2:37" ht="32.15" customHeight="1" x14ac:dyDescent="0.3">
      <c r="B12" s="17" t="str">
        <f>IF(Table1323[[#This Row],[Space Type]]="","","L-"&amp;ROW(6:6))</f>
        <v/>
      </c>
      <c r="C12" s="206"/>
      <c r="D12" s="207"/>
      <c r="E12" s="207"/>
      <c r="F12" s="207"/>
      <c r="G12" s="208" t="str">
        <f>IFERROR(IF(Table1323[[#This Row],[No]]="","",IF(Table1323[[#This Row],[Space Type]]="","select Space Type",INDEX(Table5[Hours],MATCH(Table1323[[#This Row],[Space Type]],Table5[Space Type],0)))),"")</f>
        <v/>
      </c>
      <c r="H12" s="207"/>
      <c r="I12" s="207"/>
      <c r="J12" s="613" t="str">
        <f>IFERROR(INDEX(Table1[Integrated Controls Capable],MATCH(Table1323[[#This Row],[Rebate Category]],Table1[BC Hydro Rebate Category],0)),"")</f>
        <v/>
      </c>
      <c r="K12" s="207"/>
      <c r="L12" s="572" t="str" cm="1">
        <f t="array" ref="L12">IFERROR(INDEX(Table1[Rebate],MATCH(Table1323[[#This Row],[Rebate Category]],Table1[BC Hydro Rebate Category],0))+IF(AND(Table1323[[#This Row],[Integrated Controls Capable]],Table1323[[#This Row],[Fixture Integrated Occupancy/Daylight Harvesting Sensors?]]="Yes"),Table6[],0),"")</f>
        <v/>
      </c>
      <c r="M12" s="573" t="str">
        <f>IFERROR(IF(AND(Table1323[[#This Row],[Integrated Controls Capable]],Table1323[[#This Row],[Fixture Integrated Occupancy/Daylight Harvesting Sensors?]]="Yes"),"per integrated luminaire", INDEX(Table1[Rebate Unit],MATCH(Table1323[[#This Row],[Rebate Category]],Table1[BC Hydro Rebate Category],0))),"")</f>
        <v/>
      </c>
      <c r="N12" s="207"/>
      <c r="O12" s="207"/>
      <c r="P12" s="206"/>
      <c r="Q12" s="209">
        <f>IFERROR(Table1323[[#This Row],[Rebate per luminaire, ($)]]*Table1323[[#This Row],[Quantity of luminaires or lamps]],0)</f>
        <v>0</v>
      </c>
      <c r="R1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2" s="211" t="str">
        <f>IFERROR(IF(Table1323[[#This Row],[Quantity of luminaires or lamps]]="","",IF(Table1323[[#This Row],[Controls Rebate]]="",0,Table1323[[#This Row],[Controls Rebate]])+Table1323[[#This Row],[Lighting Rebate]]),"")</f>
        <v/>
      </c>
      <c r="T1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2" s="213">
        <f>IFERROR(Table1323[[#This Row],[Rebate kW Savings]]*Table1323[[#This Row],[Annual hours from space type]],0)</f>
        <v>0</v>
      </c>
      <c r="V1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2" s="213">
        <f>Table1323[[#This Row],[Rebate kWh savings]]+Table1323[[#This Row],[Controls Rebate kWh Savings]]</f>
        <v>0</v>
      </c>
      <c r="X12" s="214" t="str">
        <f>IFERROR(IF(Table1323[[#This Row],[Quantity of luminaires or lamps]]="","",Table1323[[#This Row],[Rebate kW Savings]]),0)</f>
        <v/>
      </c>
      <c r="Y12" s="215" t="str">
        <f>IFERROR(IF(Table1323[[#This Row],[Quantity of luminaires or lamps]]="","",Table1323[[#This Row],[Total Lighting Rebate Energy Savings]]),0)</f>
        <v/>
      </c>
      <c r="Z12" s="207"/>
      <c r="AA12" s="18" t="str">
        <f>IF(Table1323[[#This Row],[Selected for Implementation]]="Yes",IF(Table1323[[#This Row],[No]]="","",(CONCATENATE("Light_"&amp;Table1323[[#This Row],[Rebate Category]]&amp;Table1323[[#This Row],[LED lamp/luminaire retrofit part '#]]))),"")</f>
        <v/>
      </c>
      <c r="AB12" s="20" t="str" cm="1">
        <f t="array" ref="AB12">IFERROR(IF(Table1323[[#This Row],[Annual hours from space type]]&gt;=Table14[],Table1323[[#This Row],[Demand Savings, kW]],0),0)</f>
        <v/>
      </c>
      <c r="AC12" s="19" t="str">
        <f>IFERROR(INDEX(Table1[BC Hydro xRM ECM],MATCH(Table1323[[#This Row],[Rebate Category]],Table1[BC Hydro Rebate Category],0)),"")</f>
        <v/>
      </c>
      <c r="AD12" s="18">
        <f>IF(Table1323[[#This Row],[Selected for Implementation]]="Yes",1,0)</f>
        <v>0</v>
      </c>
      <c r="AE12" s="18" t="e">
        <f>Table1323[[#This Row],[Implement]]*Table1323[[#This Row],[Demand Savings, kW]]</f>
        <v>#VALUE!</v>
      </c>
      <c r="AF12" s="18" t="e">
        <f>Table1323[[#This Row],[Implement]]*Table1323[[#This Row],[BCH Peak kW]]</f>
        <v>#VALUE!</v>
      </c>
      <c r="AG12" s="18">
        <f>Table1323[[#This Row],[Implement]]*Table1323[[#This Row],[Rebate kWh savings]]</f>
        <v>0</v>
      </c>
      <c r="AH12" s="18">
        <f>Table1323[[#This Row],[Implement]]*Table1323[[#This Row],[Controls Rebate kWh Savings]]</f>
        <v>0</v>
      </c>
      <c r="AI12" s="233">
        <f>Table1323[[#This Row],[Implement]]*Table1323[[#This Row],[Controls Rebate]]</f>
        <v>0</v>
      </c>
      <c r="AJ12" s="569">
        <f>IF(Table1323[[#This Row],[iControls Incentives]]&gt;0,Table1323[[#This Row],[Number of  sensors]],0)</f>
        <v>0</v>
      </c>
      <c r="AK12" s="233">
        <f>Table1323[[#This Row],[Implement]]*Table1323[[#This Row],[Lighting Rebate]]</f>
        <v>0</v>
      </c>
    </row>
    <row r="13" spans="2:37" ht="32.15" customHeight="1" x14ac:dyDescent="0.3">
      <c r="B13" s="17" t="str">
        <f>IF(Table1323[[#This Row],[Space Type]]="","","L-"&amp;ROW(7:7))</f>
        <v/>
      </c>
      <c r="C13" s="206"/>
      <c r="D13" s="207"/>
      <c r="E13" s="207"/>
      <c r="F13" s="207"/>
      <c r="G13" s="208" t="str">
        <f>IFERROR(IF(Table1323[[#This Row],[No]]="","",IF(Table1323[[#This Row],[Space Type]]="","select Space Type",INDEX(Table5[Hours],MATCH(Table1323[[#This Row],[Space Type]],Table5[Space Type],0)))),"")</f>
        <v/>
      </c>
      <c r="H13" s="207"/>
      <c r="I13" s="207"/>
      <c r="J13" s="613" t="str">
        <f>IFERROR(INDEX(Table1[Integrated Controls Capable],MATCH(Table1323[[#This Row],[Rebate Category]],Table1[BC Hydro Rebate Category],0)),"")</f>
        <v/>
      </c>
      <c r="K13" s="207"/>
      <c r="L13" s="572" t="str" cm="1">
        <f t="array" ref="L13">IFERROR(INDEX(Table1[Rebate],MATCH(Table1323[[#This Row],[Rebate Category]],Table1[BC Hydro Rebate Category],0))+IF(AND(Table1323[[#This Row],[Integrated Controls Capable]],Table1323[[#This Row],[Fixture Integrated Occupancy/Daylight Harvesting Sensors?]]="Yes"),Table6[],0),"")</f>
        <v/>
      </c>
      <c r="M13" s="573" t="str">
        <f>IFERROR(IF(AND(Table1323[[#This Row],[Integrated Controls Capable]],Table1323[[#This Row],[Fixture Integrated Occupancy/Daylight Harvesting Sensors?]]="Yes"),"per integrated luminaire", INDEX(Table1[Rebate Unit],MATCH(Table1323[[#This Row],[Rebate Category]],Table1[BC Hydro Rebate Category],0))),"")</f>
        <v/>
      </c>
      <c r="N13" s="207"/>
      <c r="O13" s="207"/>
      <c r="P13" s="206"/>
      <c r="Q13" s="209">
        <f>IFERROR(Table1323[[#This Row],[Rebate per luminaire, ($)]]*Table1323[[#This Row],[Quantity of luminaires or lamps]],0)</f>
        <v>0</v>
      </c>
      <c r="R1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3" s="211" t="str">
        <f>IFERROR(IF(Table1323[[#This Row],[Quantity of luminaires or lamps]]="","",IF(Table1323[[#This Row],[Controls Rebate]]="",0,Table1323[[#This Row],[Controls Rebate]])+Table1323[[#This Row],[Lighting Rebate]]),"")</f>
        <v/>
      </c>
      <c r="T1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3" s="213">
        <f>IFERROR(Table1323[[#This Row],[Rebate kW Savings]]*Table1323[[#This Row],[Annual hours from space type]],0)</f>
        <v>0</v>
      </c>
      <c r="V1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3" s="213">
        <f>Table1323[[#This Row],[Rebate kWh savings]]+Table1323[[#This Row],[Controls Rebate kWh Savings]]</f>
        <v>0</v>
      </c>
      <c r="X13" s="214" t="str">
        <f>IFERROR(IF(Table1323[[#This Row],[Quantity of luminaires or lamps]]="","",Table1323[[#This Row],[Rebate kW Savings]]),0)</f>
        <v/>
      </c>
      <c r="Y13" s="215" t="str">
        <f>IFERROR(IF(Table1323[[#This Row],[Quantity of luminaires or lamps]]="","",Table1323[[#This Row],[Total Lighting Rebate Energy Savings]]),0)</f>
        <v/>
      </c>
      <c r="Z13" s="207"/>
      <c r="AA13" s="18" t="str">
        <f>IF(Table1323[[#This Row],[Selected for Implementation]]="Yes",IF(Table1323[[#This Row],[No]]="","",(CONCATENATE("Light_"&amp;Table1323[[#This Row],[Rebate Category]]&amp;Table1323[[#This Row],[LED lamp/luminaire retrofit part '#]]))),"")</f>
        <v/>
      </c>
      <c r="AB13" s="20" t="str" cm="1">
        <f t="array" ref="AB13">IFERROR(IF(Table1323[[#This Row],[Annual hours from space type]]&gt;=Table14[],Table1323[[#This Row],[Demand Savings, kW]],0),0)</f>
        <v/>
      </c>
      <c r="AC13" s="19" t="str">
        <f>IFERROR(INDEX(Table1[BC Hydro xRM ECM],MATCH(Table1323[[#This Row],[Rebate Category]],Table1[BC Hydro Rebate Category],0)),"")</f>
        <v/>
      </c>
      <c r="AD13" s="18">
        <f>IF(Table1323[[#This Row],[Selected for Implementation]]="Yes",1,0)</f>
        <v>0</v>
      </c>
      <c r="AE13" s="18" t="e">
        <f>Table1323[[#This Row],[Implement]]*Table1323[[#This Row],[Demand Savings, kW]]</f>
        <v>#VALUE!</v>
      </c>
      <c r="AF13" s="18" t="e">
        <f>Table1323[[#This Row],[Implement]]*Table1323[[#This Row],[BCH Peak kW]]</f>
        <v>#VALUE!</v>
      </c>
      <c r="AG13" s="18">
        <f>Table1323[[#This Row],[Implement]]*Table1323[[#This Row],[Rebate kWh savings]]</f>
        <v>0</v>
      </c>
      <c r="AH13" s="18">
        <f>Table1323[[#This Row],[Implement]]*Table1323[[#This Row],[Controls Rebate kWh Savings]]</f>
        <v>0</v>
      </c>
      <c r="AI13" s="233">
        <f>Table1323[[#This Row],[Implement]]*Table1323[[#This Row],[Controls Rebate]]</f>
        <v>0</v>
      </c>
      <c r="AJ13" s="569">
        <f>IF(Table1323[[#This Row],[iControls Incentives]]&gt;0,Table1323[[#This Row],[Number of  sensors]],0)</f>
        <v>0</v>
      </c>
      <c r="AK13" s="233">
        <f>Table1323[[#This Row],[Implement]]*Table1323[[#This Row],[Lighting Rebate]]</f>
        <v>0</v>
      </c>
    </row>
    <row r="14" spans="2:37" ht="32.15" customHeight="1" x14ac:dyDescent="0.3">
      <c r="B14" s="17" t="str">
        <f>IF(Table1323[[#This Row],[Space Type]]="","","L-"&amp;ROW(8:8))</f>
        <v/>
      </c>
      <c r="C14" s="206"/>
      <c r="D14" s="207"/>
      <c r="E14" s="207"/>
      <c r="F14" s="207"/>
      <c r="G14" s="208" t="str">
        <f>IFERROR(IF(Table1323[[#This Row],[No]]="","",IF(Table1323[[#This Row],[Space Type]]="","select Space Type",INDEX(Table5[Hours],MATCH(Table1323[[#This Row],[Space Type]],Table5[Space Type],0)))),"")</f>
        <v/>
      </c>
      <c r="H14" s="207"/>
      <c r="I14" s="207"/>
      <c r="J14" s="613" t="str">
        <f>IFERROR(INDEX(Table1[Integrated Controls Capable],MATCH(Table1323[[#This Row],[Rebate Category]],Table1[BC Hydro Rebate Category],0)),"")</f>
        <v/>
      </c>
      <c r="K14" s="207"/>
      <c r="L14" s="572" t="str" cm="1">
        <f t="array" ref="L14">IFERROR(INDEX(Table1[Rebate],MATCH(Table1323[[#This Row],[Rebate Category]],Table1[BC Hydro Rebate Category],0))+IF(AND(Table1323[[#This Row],[Integrated Controls Capable]],Table1323[[#This Row],[Fixture Integrated Occupancy/Daylight Harvesting Sensors?]]="Yes"),Table6[],0),"")</f>
        <v/>
      </c>
      <c r="M14" s="573" t="str">
        <f>IFERROR(IF(AND(Table1323[[#This Row],[Integrated Controls Capable]],Table1323[[#This Row],[Fixture Integrated Occupancy/Daylight Harvesting Sensors?]]="Yes"),"per integrated luminaire", INDEX(Table1[Rebate Unit],MATCH(Table1323[[#This Row],[Rebate Category]],Table1[BC Hydro Rebate Category],0))),"")</f>
        <v/>
      </c>
      <c r="N14" s="207"/>
      <c r="O14" s="207"/>
      <c r="P14" s="206"/>
      <c r="Q14" s="209">
        <f>IFERROR(Table1323[[#This Row],[Rebate per luminaire, ($)]]*Table1323[[#This Row],[Quantity of luminaires or lamps]],0)</f>
        <v>0</v>
      </c>
      <c r="R1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4" s="211" t="str">
        <f>IFERROR(IF(Table1323[[#This Row],[Quantity of luminaires or lamps]]="","",IF(Table1323[[#This Row],[Controls Rebate]]="",0,Table1323[[#This Row],[Controls Rebate]])+Table1323[[#This Row],[Lighting Rebate]]),"")</f>
        <v/>
      </c>
      <c r="T1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4" s="213">
        <f>IFERROR(Table1323[[#This Row],[Rebate kW Savings]]*Table1323[[#This Row],[Annual hours from space type]],0)</f>
        <v>0</v>
      </c>
      <c r="V1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4" s="213">
        <f>Table1323[[#This Row],[Rebate kWh savings]]+Table1323[[#This Row],[Controls Rebate kWh Savings]]</f>
        <v>0</v>
      </c>
      <c r="X14" s="214" t="str">
        <f>IFERROR(IF(Table1323[[#This Row],[Quantity of luminaires or lamps]]="","",Table1323[[#This Row],[Rebate kW Savings]]),0)</f>
        <v/>
      </c>
      <c r="Y14" s="215" t="str">
        <f>IFERROR(IF(Table1323[[#This Row],[Quantity of luminaires or lamps]]="","",Table1323[[#This Row],[Total Lighting Rebate Energy Savings]]),0)</f>
        <v/>
      </c>
      <c r="Z14" s="207"/>
      <c r="AA14" s="18" t="str">
        <f>IF(Table1323[[#This Row],[Selected for Implementation]]="Yes",IF(Table1323[[#This Row],[No]]="","",(CONCATENATE("Light_"&amp;Table1323[[#This Row],[Rebate Category]]&amp;Table1323[[#This Row],[LED lamp/luminaire retrofit part '#]]))),"")</f>
        <v/>
      </c>
      <c r="AB14" s="20" t="str" cm="1">
        <f t="array" ref="AB14">IFERROR(IF(Table1323[[#This Row],[Annual hours from space type]]&gt;=Table14[],Table1323[[#This Row],[Demand Savings, kW]],0),0)</f>
        <v/>
      </c>
      <c r="AC14" s="19" t="str">
        <f>IFERROR(INDEX(Table1[BC Hydro xRM ECM],MATCH(Table1323[[#This Row],[Rebate Category]],Table1[BC Hydro Rebate Category],0)),"")</f>
        <v/>
      </c>
      <c r="AD14" s="18">
        <f>IF(Table1323[[#This Row],[Selected for Implementation]]="Yes",1,0)</f>
        <v>0</v>
      </c>
      <c r="AE14" s="18" t="e">
        <f>Table1323[[#This Row],[Implement]]*Table1323[[#This Row],[Demand Savings, kW]]</f>
        <v>#VALUE!</v>
      </c>
      <c r="AF14" s="18" t="e">
        <f>Table1323[[#This Row],[Implement]]*Table1323[[#This Row],[BCH Peak kW]]</f>
        <v>#VALUE!</v>
      </c>
      <c r="AG14" s="18">
        <f>Table1323[[#This Row],[Implement]]*Table1323[[#This Row],[Rebate kWh savings]]</f>
        <v>0</v>
      </c>
      <c r="AH14" s="18">
        <f>Table1323[[#This Row],[Implement]]*Table1323[[#This Row],[Controls Rebate kWh Savings]]</f>
        <v>0</v>
      </c>
      <c r="AI14" s="233">
        <f>Table1323[[#This Row],[Implement]]*Table1323[[#This Row],[Controls Rebate]]</f>
        <v>0</v>
      </c>
      <c r="AJ14" s="569">
        <f>IF(Table1323[[#This Row],[iControls Incentives]]&gt;0,Table1323[[#This Row],[Number of  sensors]],0)</f>
        <v>0</v>
      </c>
      <c r="AK14" s="233">
        <f>Table1323[[#This Row],[Implement]]*Table1323[[#This Row],[Lighting Rebate]]</f>
        <v>0</v>
      </c>
    </row>
    <row r="15" spans="2:37" ht="32.15" customHeight="1" x14ac:dyDescent="0.3">
      <c r="B15" s="17" t="str">
        <f>IF(Table1323[[#This Row],[Space Type]]="","","L-"&amp;ROW(9:9))</f>
        <v/>
      </c>
      <c r="C15" s="206"/>
      <c r="D15" s="207"/>
      <c r="E15" s="207"/>
      <c r="F15" s="207"/>
      <c r="G15" s="208" t="str">
        <f>IFERROR(IF(Table1323[[#This Row],[No]]="","",IF(Table1323[[#This Row],[Space Type]]="","select Space Type",INDEX(Table5[Hours],MATCH(Table1323[[#This Row],[Space Type]],Table5[Space Type],0)))),"")</f>
        <v/>
      </c>
      <c r="H15" s="207"/>
      <c r="I15" s="207"/>
      <c r="J15" s="613" t="str">
        <f>IFERROR(INDEX(Table1[Integrated Controls Capable],MATCH(Table1323[[#This Row],[Rebate Category]],Table1[BC Hydro Rebate Category],0)),"")</f>
        <v/>
      </c>
      <c r="K15" s="207"/>
      <c r="L15" s="572" t="str" cm="1">
        <f t="array" ref="L15">IFERROR(INDEX(Table1[Rebate],MATCH(Table1323[[#This Row],[Rebate Category]],Table1[BC Hydro Rebate Category],0))+IF(AND(Table1323[[#This Row],[Integrated Controls Capable]],Table1323[[#This Row],[Fixture Integrated Occupancy/Daylight Harvesting Sensors?]]="Yes"),Table6[],0),"")</f>
        <v/>
      </c>
      <c r="M15" s="573" t="str">
        <f>IFERROR(IF(AND(Table1323[[#This Row],[Integrated Controls Capable]],Table1323[[#This Row],[Fixture Integrated Occupancy/Daylight Harvesting Sensors?]]="Yes"),"per integrated luminaire", INDEX(Table1[Rebate Unit],MATCH(Table1323[[#This Row],[Rebate Category]],Table1[BC Hydro Rebate Category],0))),"")</f>
        <v/>
      </c>
      <c r="N15" s="207"/>
      <c r="O15" s="207"/>
      <c r="P15" s="206"/>
      <c r="Q15" s="209">
        <f>IFERROR(Table1323[[#This Row],[Rebate per luminaire, ($)]]*Table1323[[#This Row],[Quantity of luminaires or lamps]],0)</f>
        <v>0</v>
      </c>
      <c r="R1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5" s="211" t="str">
        <f>IFERROR(IF(Table1323[[#This Row],[Quantity of luminaires or lamps]]="","",IF(Table1323[[#This Row],[Controls Rebate]]="",0,Table1323[[#This Row],[Controls Rebate]])+Table1323[[#This Row],[Lighting Rebate]]),"")</f>
        <v/>
      </c>
      <c r="T1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5" s="213">
        <f>IFERROR(Table1323[[#This Row],[Rebate kW Savings]]*Table1323[[#This Row],[Annual hours from space type]],0)</f>
        <v>0</v>
      </c>
      <c r="V1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5" s="213">
        <f>Table1323[[#This Row],[Rebate kWh savings]]+Table1323[[#This Row],[Controls Rebate kWh Savings]]</f>
        <v>0</v>
      </c>
      <c r="X15" s="214" t="str">
        <f>IFERROR(IF(Table1323[[#This Row],[Quantity of luminaires or lamps]]="","",Table1323[[#This Row],[Rebate kW Savings]]),0)</f>
        <v/>
      </c>
      <c r="Y15" s="215" t="str">
        <f>IFERROR(IF(Table1323[[#This Row],[Quantity of luminaires or lamps]]="","",Table1323[[#This Row],[Total Lighting Rebate Energy Savings]]),0)</f>
        <v/>
      </c>
      <c r="Z15" s="207"/>
      <c r="AA15" s="18" t="str">
        <f>IF(Table1323[[#This Row],[Selected for Implementation]]="Yes",IF(Table1323[[#This Row],[No]]="","",(CONCATENATE("Light_"&amp;Table1323[[#This Row],[Rebate Category]]&amp;Table1323[[#This Row],[LED lamp/luminaire retrofit part '#]]))),"")</f>
        <v/>
      </c>
      <c r="AB15" s="20" t="str" cm="1">
        <f t="array" ref="AB15">IFERROR(IF(Table1323[[#This Row],[Annual hours from space type]]&gt;=Table14[],Table1323[[#This Row],[Demand Savings, kW]],0),0)</f>
        <v/>
      </c>
      <c r="AC15" s="19" t="str">
        <f>IFERROR(INDEX(Table1[BC Hydro xRM ECM],MATCH(Table1323[[#This Row],[Rebate Category]],Table1[BC Hydro Rebate Category],0)),"")</f>
        <v/>
      </c>
      <c r="AD15" s="18">
        <f>IF(Table1323[[#This Row],[Selected for Implementation]]="Yes",1,0)</f>
        <v>0</v>
      </c>
      <c r="AE15" s="18" t="e">
        <f>Table1323[[#This Row],[Implement]]*Table1323[[#This Row],[Demand Savings, kW]]</f>
        <v>#VALUE!</v>
      </c>
      <c r="AF15" s="18" t="e">
        <f>Table1323[[#This Row],[Implement]]*Table1323[[#This Row],[BCH Peak kW]]</f>
        <v>#VALUE!</v>
      </c>
      <c r="AG15" s="18">
        <f>Table1323[[#This Row],[Implement]]*Table1323[[#This Row],[Rebate kWh savings]]</f>
        <v>0</v>
      </c>
      <c r="AH15" s="18">
        <f>Table1323[[#This Row],[Implement]]*Table1323[[#This Row],[Controls Rebate kWh Savings]]</f>
        <v>0</v>
      </c>
      <c r="AI15" s="233">
        <f>Table1323[[#This Row],[Implement]]*Table1323[[#This Row],[Controls Rebate]]</f>
        <v>0</v>
      </c>
      <c r="AJ15" s="569">
        <f>IF(Table1323[[#This Row],[iControls Incentives]]&gt;0,Table1323[[#This Row],[Number of  sensors]],0)</f>
        <v>0</v>
      </c>
      <c r="AK15" s="233">
        <f>Table1323[[#This Row],[Implement]]*Table1323[[#This Row],[Lighting Rebate]]</f>
        <v>0</v>
      </c>
    </row>
    <row r="16" spans="2:37" ht="32.15" customHeight="1" x14ac:dyDescent="0.3">
      <c r="B16" s="17" t="str">
        <f>IF(Table1323[[#This Row],[Space Type]]="","","L-"&amp;ROW(10:10))</f>
        <v/>
      </c>
      <c r="C16" s="206"/>
      <c r="D16" s="207"/>
      <c r="E16" s="207"/>
      <c r="F16" s="207"/>
      <c r="G16" s="208" t="str">
        <f>IFERROR(IF(Table1323[[#This Row],[No]]="","",IF(Table1323[[#This Row],[Space Type]]="","select Space Type",INDEX(Table5[Hours],MATCH(Table1323[[#This Row],[Space Type]],Table5[Space Type],0)))),"")</f>
        <v/>
      </c>
      <c r="H16" s="207"/>
      <c r="I16" s="207"/>
      <c r="J16" s="613" t="str">
        <f>IFERROR(INDEX(Table1[Integrated Controls Capable],MATCH(Table1323[[#This Row],[Rebate Category]],Table1[BC Hydro Rebate Category],0)),"")</f>
        <v/>
      </c>
      <c r="K16" s="207"/>
      <c r="L16" s="572" t="str" cm="1">
        <f t="array" ref="L16">IFERROR(INDEX(Table1[Rebate],MATCH(Table1323[[#This Row],[Rebate Category]],Table1[BC Hydro Rebate Category],0))+IF(AND(Table1323[[#This Row],[Integrated Controls Capable]],Table1323[[#This Row],[Fixture Integrated Occupancy/Daylight Harvesting Sensors?]]="Yes"),Table6[],0),"")</f>
        <v/>
      </c>
      <c r="M16" s="573" t="str">
        <f>IFERROR(IF(AND(Table1323[[#This Row],[Integrated Controls Capable]],Table1323[[#This Row],[Fixture Integrated Occupancy/Daylight Harvesting Sensors?]]="Yes"),"per integrated luminaire", INDEX(Table1[Rebate Unit],MATCH(Table1323[[#This Row],[Rebate Category]],Table1[BC Hydro Rebate Category],0))),"")</f>
        <v/>
      </c>
      <c r="N16" s="207"/>
      <c r="O16" s="207"/>
      <c r="P16" s="206"/>
      <c r="Q16" s="209">
        <f>IFERROR(Table1323[[#This Row],[Rebate per luminaire, ($)]]*Table1323[[#This Row],[Quantity of luminaires or lamps]],0)</f>
        <v>0</v>
      </c>
      <c r="R1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6" s="211" t="str">
        <f>IFERROR(IF(Table1323[[#This Row],[Quantity of luminaires or lamps]]="","",IF(Table1323[[#This Row],[Controls Rebate]]="",0,Table1323[[#This Row],[Controls Rebate]])+Table1323[[#This Row],[Lighting Rebate]]),"")</f>
        <v/>
      </c>
      <c r="T1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6" s="213">
        <f>IFERROR(Table1323[[#This Row],[Rebate kW Savings]]*Table1323[[#This Row],[Annual hours from space type]],0)</f>
        <v>0</v>
      </c>
      <c r="V1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6" s="213">
        <f>Table1323[[#This Row],[Rebate kWh savings]]+Table1323[[#This Row],[Controls Rebate kWh Savings]]</f>
        <v>0</v>
      </c>
      <c r="X16" s="214" t="str">
        <f>IFERROR(IF(Table1323[[#This Row],[Quantity of luminaires or lamps]]="","",Table1323[[#This Row],[Rebate kW Savings]]),0)</f>
        <v/>
      </c>
      <c r="Y16" s="215" t="str">
        <f>IFERROR(IF(Table1323[[#This Row],[Quantity of luminaires or lamps]]="","",Table1323[[#This Row],[Total Lighting Rebate Energy Savings]]),0)</f>
        <v/>
      </c>
      <c r="Z16" s="207"/>
      <c r="AA16" s="18" t="str">
        <f>IF(Table1323[[#This Row],[Selected for Implementation]]="Yes",IF(Table1323[[#This Row],[No]]="","",(CONCATENATE("Light_"&amp;Table1323[[#This Row],[Rebate Category]]&amp;Table1323[[#This Row],[LED lamp/luminaire retrofit part '#]]))),"")</f>
        <v/>
      </c>
      <c r="AB16" s="20" t="str" cm="1">
        <f t="array" ref="AB16">IFERROR(IF(Table1323[[#This Row],[Annual hours from space type]]&gt;=Table14[],Table1323[[#This Row],[Demand Savings, kW]],0),0)</f>
        <v/>
      </c>
      <c r="AC16" s="19" t="str">
        <f>IFERROR(INDEX(Table1[BC Hydro xRM ECM],MATCH(Table1323[[#This Row],[Rebate Category]],Table1[BC Hydro Rebate Category],0)),"")</f>
        <v/>
      </c>
      <c r="AD16" s="18">
        <f>IF(Table1323[[#This Row],[Selected for Implementation]]="Yes",1,0)</f>
        <v>0</v>
      </c>
      <c r="AE16" s="18" t="e">
        <f>Table1323[[#This Row],[Implement]]*Table1323[[#This Row],[Demand Savings, kW]]</f>
        <v>#VALUE!</v>
      </c>
      <c r="AF16" s="18" t="e">
        <f>Table1323[[#This Row],[Implement]]*Table1323[[#This Row],[BCH Peak kW]]</f>
        <v>#VALUE!</v>
      </c>
      <c r="AG16" s="18">
        <f>Table1323[[#This Row],[Implement]]*Table1323[[#This Row],[Rebate kWh savings]]</f>
        <v>0</v>
      </c>
      <c r="AH16" s="18">
        <f>Table1323[[#This Row],[Implement]]*Table1323[[#This Row],[Controls Rebate kWh Savings]]</f>
        <v>0</v>
      </c>
      <c r="AI16" s="233">
        <f>Table1323[[#This Row],[Implement]]*Table1323[[#This Row],[Controls Rebate]]</f>
        <v>0</v>
      </c>
      <c r="AJ16" s="569">
        <f>IF(Table1323[[#This Row],[iControls Incentives]]&gt;0,Table1323[[#This Row],[Number of  sensors]],0)</f>
        <v>0</v>
      </c>
      <c r="AK16" s="233">
        <f>Table1323[[#This Row],[Implement]]*Table1323[[#This Row],[Lighting Rebate]]</f>
        <v>0</v>
      </c>
    </row>
    <row r="17" spans="2:37" ht="32.15" customHeight="1" x14ac:dyDescent="0.3">
      <c r="B17" s="17" t="str">
        <f>IF(Table1323[[#This Row],[Space Type]]="","","L-"&amp;ROW(11:11))</f>
        <v/>
      </c>
      <c r="C17" s="206"/>
      <c r="D17" s="207"/>
      <c r="E17" s="207"/>
      <c r="F17" s="207"/>
      <c r="G17" s="208" t="str">
        <f>IFERROR(IF(Table1323[[#This Row],[No]]="","",IF(Table1323[[#This Row],[Space Type]]="","select Space Type",INDEX(Table5[Hours],MATCH(Table1323[[#This Row],[Space Type]],Table5[Space Type],0)))),"")</f>
        <v/>
      </c>
      <c r="H17" s="207"/>
      <c r="I17" s="207"/>
      <c r="J17" s="613" t="str">
        <f>IFERROR(INDEX(Table1[Integrated Controls Capable],MATCH(Table1323[[#This Row],[Rebate Category]],Table1[BC Hydro Rebate Category],0)),"")</f>
        <v/>
      </c>
      <c r="K17" s="207"/>
      <c r="L17" s="572" t="str" cm="1">
        <f t="array" ref="L17">IFERROR(INDEX(Table1[Rebate],MATCH(Table1323[[#This Row],[Rebate Category]],Table1[BC Hydro Rebate Category],0))+IF(AND(Table1323[[#This Row],[Integrated Controls Capable]],Table1323[[#This Row],[Fixture Integrated Occupancy/Daylight Harvesting Sensors?]]="Yes"),Table6[],0),"")</f>
        <v/>
      </c>
      <c r="M17" s="573" t="str">
        <f>IFERROR(IF(AND(Table1323[[#This Row],[Integrated Controls Capable]],Table1323[[#This Row],[Fixture Integrated Occupancy/Daylight Harvesting Sensors?]]="Yes"),"per integrated luminaire", INDEX(Table1[Rebate Unit],MATCH(Table1323[[#This Row],[Rebate Category]],Table1[BC Hydro Rebate Category],0))),"")</f>
        <v/>
      </c>
      <c r="N17" s="207"/>
      <c r="O17" s="207"/>
      <c r="P17" s="206"/>
      <c r="Q17" s="209">
        <f>IFERROR(Table1323[[#This Row],[Rebate per luminaire, ($)]]*Table1323[[#This Row],[Quantity of luminaires or lamps]],0)</f>
        <v>0</v>
      </c>
      <c r="R1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7" s="211" t="str">
        <f>IFERROR(IF(Table1323[[#This Row],[Quantity of luminaires or lamps]]="","",IF(Table1323[[#This Row],[Controls Rebate]]="",0,Table1323[[#This Row],[Controls Rebate]])+Table1323[[#This Row],[Lighting Rebate]]),"")</f>
        <v/>
      </c>
      <c r="T1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7" s="213">
        <f>IFERROR(Table1323[[#This Row],[Rebate kW Savings]]*Table1323[[#This Row],[Annual hours from space type]],0)</f>
        <v>0</v>
      </c>
      <c r="V1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7" s="213">
        <f>Table1323[[#This Row],[Rebate kWh savings]]+Table1323[[#This Row],[Controls Rebate kWh Savings]]</f>
        <v>0</v>
      </c>
      <c r="X17" s="214" t="str">
        <f>IFERROR(IF(Table1323[[#This Row],[Quantity of luminaires or lamps]]="","",Table1323[[#This Row],[Rebate kW Savings]]),0)</f>
        <v/>
      </c>
      <c r="Y17" s="215" t="str">
        <f>IFERROR(IF(Table1323[[#This Row],[Quantity of luminaires or lamps]]="","",Table1323[[#This Row],[Total Lighting Rebate Energy Savings]]),0)</f>
        <v/>
      </c>
      <c r="Z17" s="207"/>
      <c r="AA17" s="18" t="str">
        <f>IF(Table1323[[#This Row],[Selected for Implementation]]="Yes",IF(Table1323[[#This Row],[No]]="","",(CONCATENATE("Light_"&amp;Table1323[[#This Row],[Rebate Category]]&amp;Table1323[[#This Row],[LED lamp/luminaire retrofit part '#]]))),"")</f>
        <v/>
      </c>
      <c r="AB17" s="20" t="str" cm="1">
        <f t="array" ref="AB17">IFERROR(IF(Table1323[[#This Row],[Annual hours from space type]]&gt;=Table14[],Table1323[[#This Row],[Demand Savings, kW]],0),0)</f>
        <v/>
      </c>
      <c r="AC17" s="19" t="str">
        <f>IFERROR(INDEX(Table1[BC Hydro xRM ECM],MATCH(Table1323[[#This Row],[Rebate Category]],Table1[BC Hydro Rebate Category],0)),"")</f>
        <v/>
      </c>
      <c r="AD17" s="18">
        <f>IF(Table1323[[#This Row],[Selected for Implementation]]="Yes",1,0)</f>
        <v>0</v>
      </c>
      <c r="AE17" s="18" t="e">
        <f>Table1323[[#This Row],[Implement]]*Table1323[[#This Row],[Demand Savings, kW]]</f>
        <v>#VALUE!</v>
      </c>
      <c r="AF17" s="18" t="e">
        <f>Table1323[[#This Row],[Implement]]*Table1323[[#This Row],[BCH Peak kW]]</f>
        <v>#VALUE!</v>
      </c>
      <c r="AG17" s="18">
        <f>Table1323[[#This Row],[Implement]]*Table1323[[#This Row],[Rebate kWh savings]]</f>
        <v>0</v>
      </c>
      <c r="AH17" s="18">
        <f>Table1323[[#This Row],[Implement]]*Table1323[[#This Row],[Controls Rebate kWh Savings]]</f>
        <v>0</v>
      </c>
      <c r="AI17" s="233">
        <f>Table1323[[#This Row],[Implement]]*Table1323[[#This Row],[Controls Rebate]]</f>
        <v>0</v>
      </c>
      <c r="AJ17" s="569">
        <f>IF(Table1323[[#This Row],[iControls Incentives]]&gt;0,Table1323[[#This Row],[Number of  sensors]],0)</f>
        <v>0</v>
      </c>
      <c r="AK17" s="233">
        <f>Table1323[[#This Row],[Implement]]*Table1323[[#This Row],[Lighting Rebate]]</f>
        <v>0</v>
      </c>
    </row>
    <row r="18" spans="2:37" ht="32.15" customHeight="1" x14ac:dyDescent="0.3">
      <c r="B18" s="17" t="str">
        <f>IF(Table1323[[#This Row],[Space Type]]="","","L-"&amp;ROW(12:12))</f>
        <v/>
      </c>
      <c r="C18" s="206"/>
      <c r="D18" s="207"/>
      <c r="E18" s="207"/>
      <c r="F18" s="207"/>
      <c r="G18" s="208" t="str">
        <f>IFERROR(IF(Table1323[[#This Row],[No]]="","",IF(Table1323[[#This Row],[Space Type]]="","select Space Type",INDEX(Table5[Hours],MATCH(Table1323[[#This Row],[Space Type]],Table5[Space Type],0)))),"")</f>
        <v/>
      </c>
      <c r="H18" s="207"/>
      <c r="I18" s="207"/>
      <c r="J18" s="613" t="str">
        <f>IFERROR(INDEX(Table1[Integrated Controls Capable],MATCH(Table1323[[#This Row],[Rebate Category]],Table1[BC Hydro Rebate Category],0)),"")</f>
        <v/>
      </c>
      <c r="K18" s="207"/>
      <c r="L18" s="572" t="str" cm="1">
        <f t="array" ref="L18">IFERROR(INDEX(Table1[Rebate],MATCH(Table1323[[#This Row],[Rebate Category]],Table1[BC Hydro Rebate Category],0))+IF(AND(Table1323[[#This Row],[Integrated Controls Capable]],Table1323[[#This Row],[Fixture Integrated Occupancy/Daylight Harvesting Sensors?]]="Yes"),Table6[],0),"")</f>
        <v/>
      </c>
      <c r="M18" s="573" t="str">
        <f>IFERROR(IF(AND(Table1323[[#This Row],[Integrated Controls Capable]],Table1323[[#This Row],[Fixture Integrated Occupancy/Daylight Harvesting Sensors?]]="Yes"),"per integrated luminaire", INDEX(Table1[Rebate Unit],MATCH(Table1323[[#This Row],[Rebate Category]],Table1[BC Hydro Rebate Category],0))),"")</f>
        <v/>
      </c>
      <c r="N18" s="207"/>
      <c r="O18" s="207"/>
      <c r="P18" s="206"/>
      <c r="Q18" s="209">
        <f>IFERROR(Table1323[[#This Row],[Rebate per luminaire, ($)]]*Table1323[[#This Row],[Quantity of luminaires or lamps]],0)</f>
        <v>0</v>
      </c>
      <c r="R1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8" s="211" t="str">
        <f>IFERROR(IF(Table1323[[#This Row],[Quantity of luminaires or lamps]]="","",IF(Table1323[[#This Row],[Controls Rebate]]="",0,Table1323[[#This Row],[Controls Rebate]])+Table1323[[#This Row],[Lighting Rebate]]),"")</f>
        <v/>
      </c>
      <c r="T1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8" s="213">
        <f>IFERROR(Table1323[[#This Row],[Rebate kW Savings]]*Table1323[[#This Row],[Annual hours from space type]],0)</f>
        <v>0</v>
      </c>
      <c r="V1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8" s="213">
        <f>Table1323[[#This Row],[Rebate kWh savings]]+Table1323[[#This Row],[Controls Rebate kWh Savings]]</f>
        <v>0</v>
      </c>
      <c r="X18" s="214" t="str">
        <f>IFERROR(IF(Table1323[[#This Row],[Quantity of luminaires or lamps]]="","",Table1323[[#This Row],[Rebate kW Savings]]),0)</f>
        <v/>
      </c>
      <c r="Y18" s="215" t="str">
        <f>IFERROR(IF(Table1323[[#This Row],[Quantity of luminaires or lamps]]="","",Table1323[[#This Row],[Total Lighting Rebate Energy Savings]]),0)</f>
        <v/>
      </c>
      <c r="Z18" s="207"/>
      <c r="AA18" s="18" t="str">
        <f>IF(Table1323[[#This Row],[Selected for Implementation]]="Yes",IF(Table1323[[#This Row],[No]]="","",(CONCATENATE("Light_"&amp;Table1323[[#This Row],[Rebate Category]]&amp;Table1323[[#This Row],[LED lamp/luminaire retrofit part '#]]))),"")</f>
        <v/>
      </c>
      <c r="AB18" s="20" t="str" cm="1">
        <f t="array" ref="AB18">IFERROR(IF(Table1323[[#This Row],[Annual hours from space type]]&gt;=Table14[],Table1323[[#This Row],[Demand Savings, kW]],0),0)</f>
        <v/>
      </c>
      <c r="AC18" s="19" t="str">
        <f>IFERROR(INDEX(Table1[BC Hydro xRM ECM],MATCH(Table1323[[#This Row],[Rebate Category]],Table1[BC Hydro Rebate Category],0)),"")</f>
        <v/>
      </c>
      <c r="AD18" s="18">
        <f>IF(Table1323[[#This Row],[Selected for Implementation]]="Yes",1,0)</f>
        <v>0</v>
      </c>
      <c r="AE18" s="18" t="e">
        <f>Table1323[[#This Row],[Implement]]*Table1323[[#This Row],[Demand Savings, kW]]</f>
        <v>#VALUE!</v>
      </c>
      <c r="AF18" s="18" t="e">
        <f>Table1323[[#This Row],[Implement]]*Table1323[[#This Row],[BCH Peak kW]]</f>
        <v>#VALUE!</v>
      </c>
      <c r="AG18" s="18">
        <f>Table1323[[#This Row],[Implement]]*Table1323[[#This Row],[Rebate kWh savings]]</f>
        <v>0</v>
      </c>
      <c r="AH18" s="18">
        <f>Table1323[[#This Row],[Implement]]*Table1323[[#This Row],[Controls Rebate kWh Savings]]</f>
        <v>0</v>
      </c>
      <c r="AI18" s="233">
        <f>Table1323[[#This Row],[Implement]]*Table1323[[#This Row],[Controls Rebate]]</f>
        <v>0</v>
      </c>
      <c r="AJ18" s="569">
        <f>IF(Table1323[[#This Row],[iControls Incentives]]&gt;0,Table1323[[#This Row],[Number of  sensors]],0)</f>
        <v>0</v>
      </c>
      <c r="AK18" s="233">
        <f>Table1323[[#This Row],[Implement]]*Table1323[[#This Row],[Lighting Rebate]]</f>
        <v>0</v>
      </c>
    </row>
    <row r="19" spans="2:37" ht="32.15" customHeight="1" x14ac:dyDescent="0.3">
      <c r="B19" s="17" t="str">
        <f>IF(Table1323[[#This Row],[Space Type]]="","","L-"&amp;ROW(13:13))</f>
        <v/>
      </c>
      <c r="C19" s="206"/>
      <c r="D19" s="207"/>
      <c r="E19" s="207"/>
      <c r="F19" s="207"/>
      <c r="G19" s="208" t="str">
        <f>IFERROR(IF(Table1323[[#This Row],[No]]="","",IF(Table1323[[#This Row],[Space Type]]="","select Space Type",INDEX(Table5[Hours],MATCH(Table1323[[#This Row],[Space Type]],Table5[Space Type],0)))),"")</f>
        <v/>
      </c>
      <c r="H19" s="207"/>
      <c r="I19" s="207"/>
      <c r="J19" s="613" t="str">
        <f>IFERROR(INDEX(Table1[Integrated Controls Capable],MATCH(Table1323[[#This Row],[Rebate Category]],Table1[BC Hydro Rebate Category],0)),"")</f>
        <v/>
      </c>
      <c r="K19" s="207"/>
      <c r="L19" s="572" t="str" cm="1">
        <f t="array" ref="L19">IFERROR(INDEX(Table1[Rebate],MATCH(Table1323[[#This Row],[Rebate Category]],Table1[BC Hydro Rebate Category],0))+IF(AND(Table1323[[#This Row],[Integrated Controls Capable]],Table1323[[#This Row],[Fixture Integrated Occupancy/Daylight Harvesting Sensors?]]="Yes"),Table6[],0),"")</f>
        <v/>
      </c>
      <c r="M19" s="573" t="str">
        <f>IFERROR(IF(AND(Table1323[[#This Row],[Integrated Controls Capable]],Table1323[[#This Row],[Fixture Integrated Occupancy/Daylight Harvesting Sensors?]]="Yes"),"per integrated luminaire", INDEX(Table1[Rebate Unit],MATCH(Table1323[[#This Row],[Rebate Category]],Table1[BC Hydro Rebate Category],0))),"")</f>
        <v/>
      </c>
      <c r="N19" s="207"/>
      <c r="O19" s="207"/>
      <c r="P19" s="206"/>
      <c r="Q19" s="209">
        <f>IFERROR(Table1323[[#This Row],[Rebate per luminaire, ($)]]*Table1323[[#This Row],[Quantity of luminaires or lamps]],0)</f>
        <v>0</v>
      </c>
      <c r="R1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9" s="211" t="str">
        <f>IFERROR(IF(Table1323[[#This Row],[Quantity of luminaires or lamps]]="","",IF(Table1323[[#This Row],[Controls Rebate]]="",0,Table1323[[#This Row],[Controls Rebate]])+Table1323[[#This Row],[Lighting Rebate]]),"")</f>
        <v/>
      </c>
      <c r="T1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9" s="213">
        <f>IFERROR(Table1323[[#This Row],[Rebate kW Savings]]*Table1323[[#This Row],[Annual hours from space type]],0)</f>
        <v>0</v>
      </c>
      <c r="V1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9" s="213">
        <f>Table1323[[#This Row],[Rebate kWh savings]]+Table1323[[#This Row],[Controls Rebate kWh Savings]]</f>
        <v>0</v>
      </c>
      <c r="X19" s="214" t="str">
        <f>IFERROR(IF(Table1323[[#This Row],[Quantity of luminaires or lamps]]="","",Table1323[[#This Row],[Rebate kW Savings]]),0)</f>
        <v/>
      </c>
      <c r="Y19" s="215" t="str">
        <f>IFERROR(IF(Table1323[[#This Row],[Quantity of luminaires or lamps]]="","",Table1323[[#This Row],[Total Lighting Rebate Energy Savings]]),0)</f>
        <v/>
      </c>
      <c r="Z19" s="207"/>
      <c r="AA19" s="18" t="str">
        <f>IF(Table1323[[#This Row],[Selected for Implementation]]="Yes",IF(Table1323[[#This Row],[No]]="","",(CONCATENATE("Light_"&amp;Table1323[[#This Row],[Rebate Category]]&amp;Table1323[[#This Row],[LED lamp/luminaire retrofit part '#]]))),"")</f>
        <v/>
      </c>
      <c r="AB19" s="20" t="str" cm="1">
        <f t="array" ref="AB19">IFERROR(IF(Table1323[[#This Row],[Annual hours from space type]]&gt;=Table14[],Table1323[[#This Row],[Demand Savings, kW]],0),0)</f>
        <v/>
      </c>
      <c r="AC19" s="19" t="str">
        <f>IFERROR(INDEX(Table1[BC Hydro xRM ECM],MATCH(Table1323[[#This Row],[Rebate Category]],Table1[BC Hydro Rebate Category],0)),"")</f>
        <v/>
      </c>
      <c r="AD19" s="18">
        <f>IF(Table1323[[#This Row],[Selected for Implementation]]="Yes",1,0)</f>
        <v>0</v>
      </c>
      <c r="AE19" s="18" t="e">
        <f>Table1323[[#This Row],[Implement]]*Table1323[[#This Row],[Demand Savings, kW]]</f>
        <v>#VALUE!</v>
      </c>
      <c r="AF19" s="18" t="e">
        <f>Table1323[[#This Row],[Implement]]*Table1323[[#This Row],[BCH Peak kW]]</f>
        <v>#VALUE!</v>
      </c>
      <c r="AG19" s="18">
        <f>Table1323[[#This Row],[Implement]]*Table1323[[#This Row],[Rebate kWh savings]]</f>
        <v>0</v>
      </c>
      <c r="AH19" s="18">
        <f>Table1323[[#This Row],[Implement]]*Table1323[[#This Row],[Controls Rebate kWh Savings]]</f>
        <v>0</v>
      </c>
      <c r="AI19" s="233">
        <f>Table1323[[#This Row],[Implement]]*Table1323[[#This Row],[Controls Rebate]]</f>
        <v>0</v>
      </c>
      <c r="AJ19" s="569">
        <f>IF(Table1323[[#This Row],[iControls Incentives]]&gt;0,Table1323[[#This Row],[Number of  sensors]],0)</f>
        <v>0</v>
      </c>
      <c r="AK19" s="233">
        <f>Table1323[[#This Row],[Implement]]*Table1323[[#This Row],[Lighting Rebate]]</f>
        <v>0</v>
      </c>
    </row>
    <row r="20" spans="2:37" ht="32.15" customHeight="1" x14ac:dyDescent="0.3">
      <c r="B20" s="17" t="str">
        <f>IF(Table1323[[#This Row],[Space Type]]="","","L-"&amp;ROW(14:14))</f>
        <v/>
      </c>
      <c r="C20" s="206"/>
      <c r="D20" s="207"/>
      <c r="E20" s="207"/>
      <c r="F20" s="207"/>
      <c r="G20" s="208" t="str">
        <f>IFERROR(IF(Table1323[[#This Row],[No]]="","",IF(Table1323[[#This Row],[Space Type]]="","select Space Type",INDEX(Table5[Hours],MATCH(Table1323[[#This Row],[Space Type]],Table5[Space Type],0)))),"")</f>
        <v/>
      </c>
      <c r="H20" s="207"/>
      <c r="I20" s="207"/>
      <c r="J20" s="613" t="str">
        <f>IFERROR(INDEX(Table1[Integrated Controls Capable],MATCH(Table1323[[#This Row],[Rebate Category]],Table1[BC Hydro Rebate Category],0)),"")</f>
        <v/>
      </c>
      <c r="K20" s="207"/>
      <c r="L20" s="572" t="str" cm="1">
        <f t="array" ref="L20">IFERROR(INDEX(Table1[Rebate],MATCH(Table1323[[#This Row],[Rebate Category]],Table1[BC Hydro Rebate Category],0))+IF(AND(Table1323[[#This Row],[Integrated Controls Capable]],Table1323[[#This Row],[Fixture Integrated Occupancy/Daylight Harvesting Sensors?]]="Yes"),Table6[],0),"")</f>
        <v/>
      </c>
      <c r="M20" s="574" t="str">
        <f>IFERROR(IF(AND(Table1323[[#This Row],[Integrated Controls Capable]],Table1323[[#This Row],[Fixture Integrated Occupancy/Daylight Harvesting Sensors?]]="Yes"),"per integrated luminaire", INDEX(Table1[Rebate Unit],MATCH(Table1323[[#This Row],[Rebate Category]],Table1[BC Hydro Rebate Category],0))),"")</f>
        <v/>
      </c>
      <c r="N20" s="207"/>
      <c r="O20" s="207"/>
      <c r="P20" s="206"/>
      <c r="Q20" s="209">
        <f>IFERROR(Table1323[[#This Row],[Rebate per luminaire, ($)]]*Table1323[[#This Row],[Quantity of luminaires or lamps]],0)</f>
        <v>0</v>
      </c>
      <c r="R2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20" s="211" t="str">
        <f>IFERROR(IF(Table1323[[#This Row],[Quantity of luminaires or lamps]]="","",IF(Table1323[[#This Row],[Controls Rebate]]="",0,Table1323[[#This Row],[Controls Rebate]])+Table1323[[#This Row],[Lighting Rebate]]),"")</f>
        <v/>
      </c>
      <c r="T2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20" s="213">
        <f>IFERROR(Table1323[[#This Row],[Rebate kW Savings]]*Table1323[[#This Row],[Annual hours from space type]],0)</f>
        <v>0</v>
      </c>
      <c r="V2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20" s="213">
        <f>Table1323[[#This Row],[Rebate kWh savings]]+Table1323[[#This Row],[Controls Rebate kWh Savings]]</f>
        <v>0</v>
      </c>
      <c r="X20" s="214" t="str">
        <f>IFERROR(IF(Table1323[[#This Row],[Quantity of luminaires or lamps]]="","",Table1323[[#This Row],[Rebate kW Savings]]),0)</f>
        <v/>
      </c>
      <c r="Y20" s="215" t="str">
        <f>IFERROR(IF(Table1323[[#This Row],[Quantity of luminaires or lamps]]="","",Table1323[[#This Row],[Total Lighting Rebate Energy Savings]]),0)</f>
        <v/>
      </c>
      <c r="Z20" s="207"/>
      <c r="AA20" s="18" t="str">
        <f>IF(Table1323[[#This Row],[Selected for Implementation]]="Yes",IF(Table1323[[#This Row],[No]]="","",(CONCATENATE("Light_"&amp;Table1323[[#This Row],[Rebate Category]]&amp;Table1323[[#This Row],[LED lamp/luminaire retrofit part '#]]))),"")</f>
        <v/>
      </c>
      <c r="AB20" s="20" t="str" cm="1">
        <f t="array" ref="AB20">IFERROR(IF(Table1323[[#This Row],[Annual hours from space type]]&gt;=Table14[],Table1323[[#This Row],[Demand Savings, kW]],0),0)</f>
        <v/>
      </c>
      <c r="AC20" s="19" t="str">
        <f>IFERROR(INDEX(Table1[BC Hydro xRM ECM],MATCH(Table1323[[#This Row],[Rebate Category]],Table1[BC Hydro Rebate Category],0)),"")</f>
        <v/>
      </c>
      <c r="AD20" s="18">
        <f>IF(Table1323[[#This Row],[Selected for Implementation]]="Yes",1,0)</f>
        <v>0</v>
      </c>
      <c r="AE20" s="18" t="e">
        <f>Table1323[[#This Row],[Implement]]*Table1323[[#This Row],[Demand Savings, kW]]</f>
        <v>#VALUE!</v>
      </c>
      <c r="AF20" s="18" t="e">
        <f>Table1323[[#This Row],[Implement]]*Table1323[[#This Row],[BCH Peak kW]]</f>
        <v>#VALUE!</v>
      </c>
      <c r="AG20" s="18">
        <f>Table1323[[#This Row],[Implement]]*Table1323[[#This Row],[Rebate kWh savings]]</f>
        <v>0</v>
      </c>
      <c r="AH20" s="18">
        <f>Table1323[[#This Row],[Implement]]*Table1323[[#This Row],[Controls Rebate kWh Savings]]</f>
        <v>0</v>
      </c>
      <c r="AI20" s="233">
        <f>Table1323[[#This Row],[Implement]]*Table1323[[#This Row],[Controls Rebate]]</f>
        <v>0</v>
      </c>
      <c r="AJ20" s="569">
        <f>IF(Table1323[[#This Row],[iControls Incentives]]&gt;0,Table1323[[#This Row],[Number of  sensors]],0)</f>
        <v>0</v>
      </c>
      <c r="AK20" s="233">
        <f>Table1323[[#This Row],[Implement]]*Table1323[[#This Row],[Lighting Rebate]]</f>
        <v>0</v>
      </c>
    </row>
    <row r="21" spans="2:37" ht="32.15" customHeight="1" x14ac:dyDescent="0.3">
      <c r="B21" s="17" t="str">
        <f>IF(Table1323[[#This Row],[Space Type]]="","","L-"&amp;ROW(15:15))</f>
        <v/>
      </c>
      <c r="C21" s="206"/>
      <c r="D21" s="207"/>
      <c r="E21" s="207"/>
      <c r="F21" s="207"/>
      <c r="G21" s="208" t="str">
        <f>IFERROR(IF(Table1323[[#This Row],[No]]="","",IF(Table1323[[#This Row],[Space Type]]="","select Space Type",INDEX(Table5[Hours],MATCH(Table1323[[#This Row],[Space Type]],Table5[Space Type],0)))),"")</f>
        <v/>
      </c>
      <c r="H21" s="207"/>
      <c r="I21" s="207"/>
      <c r="J21" s="613" t="str">
        <f>IFERROR(INDEX(Table1[Integrated Controls Capable],MATCH(Table1323[[#This Row],[Rebate Category]],Table1[BC Hydro Rebate Category],0)),"")</f>
        <v/>
      </c>
      <c r="K21" s="207"/>
      <c r="L21" s="572" t="str" cm="1">
        <f t="array" ref="L21">IFERROR(INDEX(Table1[Rebate],MATCH(Table1323[[#This Row],[Rebate Category]],Table1[BC Hydro Rebate Category],0))+IF(AND(Table1323[[#This Row],[Integrated Controls Capable]],Table1323[[#This Row],[Fixture Integrated Occupancy/Daylight Harvesting Sensors?]]="Yes"),Table6[],0),"")</f>
        <v/>
      </c>
      <c r="M21" s="574" t="str">
        <f>IFERROR(IF(AND(Table1323[[#This Row],[Integrated Controls Capable]],Table1323[[#This Row],[Fixture Integrated Occupancy/Daylight Harvesting Sensors?]]="Yes"),"per integrated luminaire", INDEX(Table1[Rebate Unit],MATCH(Table1323[[#This Row],[Rebate Category]],Table1[BC Hydro Rebate Category],0))),"")</f>
        <v/>
      </c>
      <c r="N21" s="207"/>
      <c r="O21" s="207"/>
      <c r="P21" s="206"/>
      <c r="Q21" s="209">
        <f>IFERROR(Table1323[[#This Row],[Rebate per luminaire, ($)]]*Table1323[[#This Row],[Quantity of luminaires or lamps]],0)</f>
        <v>0</v>
      </c>
      <c r="R2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21" s="211" t="str">
        <f>IFERROR(IF(Table1323[[#This Row],[Quantity of luminaires or lamps]]="","",IF(Table1323[[#This Row],[Controls Rebate]]="",0,Table1323[[#This Row],[Controls Rebate]])+Table1323[[#This Row],[Lighting Rebate]]),"")</f>
        <v/>
      </c>
      <c r="T2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21" s="213">
        <f>IFERROR(Table1323[[#This Row],[Rebate kW Savings]]*Table1323[[#This Row],[Annual hours from space type]],0)</f>
        <v>0</v>
      </c>
      <c r="V2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21" s="213">
        <f>Table1323[[#This Row],[Rebate kWh savings]]+Table1323[[#This Row],[Controls Rebate kWh Savings]]</f>
        <v>0</v>
      </c>
      <c r="X21" s="214" t="str">
        <f>IFERROR(IF(Table1323[[#This Row],[Quantity of luminaires or lamps]]="","",Table1323[[#This Row],[Rebate kW Savings]]),0)</f>
        <v/>
      </c>
      <c r="Y21" s="215" t="str">
        <f>IFERROR(IF(Table1323[[#This Row],[Quantity of luminaires or lamps]]="","",Table1323[[#This Row],[Total Lighting Rebate Energy Savings]]),0)</f>
        <v/>
      </c>
      <c r="Z21" s="207"/>
      <c r="AA21" s="18" t="str">
        <f>IF(Table1323[[#This Row],[Selected for Implementation]]="Yes",IF(Table1323[[#This Row],[No]]="","",(CONCATENATE("Light_"&amp;Table1323[[#This Row],[Rebate Category]]&amp;Table1323[[#This Row],[LED lamp/luminaire retrofit part '#]]))),"")</f>
        <v/>
      </c>
      <c r="AB21" s="20" t="str" cm="1">
        <f t="array" ref="AB21">IFERROR(IF(Table1323[[#This Row],[Annual hours from space type]]&gt;=Table14[],Table1323[[#This Row],[Demand Savings, kW]],0),0)</f>
        <v/>
      </c>
      <c r="AC21" s="19" t="str">
        <f>IFERROR(INDEX(Table1[BC Hydro xRM ECM],MATCH(Table1323[[#This Row],[Rebate Category]],Table1[BC Hydro Rebate Category],0)),"")</f>
        <v/>
      </c>
      <c r="AD21" s="18">
        <f>IF(Table1323[[#This Row],[Selected for Implementation]]="Yes",1,0)</f>
        <v>0</v>
      </c>
      <c r="AE21" s="18" t="e">
        <f>Table1323[[#This Row],[Implement]]*Table1323[[#This Row],[Demand Savings, kW]]</f>
        <v>#VALUE!</v>
      </c>
      <c r="AF21" s="18" t="e">
        <f>Table1323[[#This Row],[Implement]]*Table1323[[#This Row],[BCH Peak kW]]</f>
        <v>#VALUE!</v>
      </c>
      <c r="AG21" s="18">
        <f>Table1323[[#This Row],[Implement]]*Table1323[[#This Row],[Rebate kWh savings]]</f>
        <v>0</v>
      </c>
      <c r="AH21" s="18">
        <f>Table1323[[#This Row],[Implement]]*Table1323[[#This Row],[Controls Rebate kWh Savings]]</f>
        <v>0</v>
      </c>
      <c r="AI21" s="233">
        <f>Table1323[[#This Row],[Implement]]*Table1323[[#This Row],[Controls Rebate]]</f>
        <v>0</v>
      </c>
      <c r="AJ21" s="569">
        <f>IF(Table1323[[#This Row],[iControls Incentives]]&gt;0,Table1323[[#This Row],[Number of  sensors]],0)</f>
        <v>0</v>
      </c>
      <c r="AK21" s="233">
        <f>Table1323[[#This Row],[Implement]]*Table1323[[#This Row],[Lighting Rebate]]</f>
        <v>0</v>
      </c>
    </row>
    <row r="22" spans="2:37" ht="32.15" customHeight="1" x14ac:dyDescent="0.3">
      <c r="B22" s="17" t="str">
        <f>IF(Table1323[[#This Row],[Space Type]]="","","L-"&amp;ROW(16:16))</f>
        <v/>
      </c>
      <c r="C22" s="206"/>
      <c r="D22" s="207"/>
      <c r="E22" s="207"/>
      <c r="F22" s="207"/>
      <c r="G22" s="208" t="str">
        <f>IFERROR(IF(Table1323[[#This Row],[No]]="","",IF(Table1323[[#This Row],[Space Type]]="","select Space Type",INDEX(Table5[Hours],MATCH(Table1323[[#This Row],[Space Type]],Table5[Space Type],0)))),"")</f>
        <v/>
      </c>
      <c r="H22" s="207"/>
      <c r="I22" s="207"/>
      <c r="J22" s="613" t="str">
        <f>IFERROR(INDEX(Table1[Integrated Controls Capable],MATCH(Table1323[[#This Row],[Rebate Category]],Table1[BC Hydro Rebate Category],0)),"")</f>
        <v/>
      </c>
      <c r="K22" s="207"/>
      <c r="L22" s="572" t="str" cm="1">
        <f t="array" ref="L22">IFERROR(INDEX(Table1[Rebate],MATCH(Table1323[[#This Row],[Rebate Category]],Table1[BC Hydro Rebate Category],0))+IF(AND(Table1323[[#This Row],[Integrated Controls Capable]],Table1323[[#This Row],[Fixture Integrated Occupancy/Daylight Harvesting Sensors?]]="Yes"),Table6[],0),"")</f>
        <v/>
      </c>
      <c r="M22" s="574" t="str">
        <f>IFERROR(IF(AND(Table1323[[#This Row],[Integrated Controls Capable]],Table1323[[#This Row],[Fixture Integrated Occupancy/Daylight Harvesting Sensors?]]="Yes"),"per integrated luminaire", INDEX(Table1[Rebate Unit],MATCH(Table1323[[#This Row],[Rebate Category]],Table1[BC Hydro Rebate Category],0))),"")</f>
        <v/>
      </c>
      <c r="N22" s="614"/>
      <c r="O22" s="207"/>
      <c r="P22" s="615"/>
      <c r="Q22" s="209">
        <f>IFERROR(Table1323[[#This Row],[Rebate per luminaire, ($)]]*Table1323[[#This Row],[Quantity of luminaires or lamps]],0)</f>
        <v>0</v>
      </c>
      <c r="R2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22" s="211" t="str">
        <f>IFERROR(IF(Table1323[[#This Row],[Quantity of luminaires or lamps]]="","",IF(Table1323[[#This Row],[Controls Rebate]]="",0,Table1323[[#This Row],[Controls Rebate]])+Table1323[[#This Row],[Lighting Rebate]]),"")</f>
        <v/>
      </c>
      <c r="T2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22" s="213">
        <f>IFERROR(Table1323[[#This Row],[Rebate kW Savings]]*Table1323[[#This Row],[Annual hours from space type]],0)</f>
        <v>0</v>
      </c>
      <c r="V2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22" s="213">
        <f>Table1323[[#This Row],[Rebate kWh savings]]+Table1323[[#This Row],[Controls Rebate kWh Savings]]</f>
        <v>0</v>
      </c>
      <c r="X22" s="214" t="str">
        <f>IFERROR(IF(Table1323[[#This Row],[Quantity of luminaires or lamps]]="","",Table1323[[#This Row],[Rebate kW Savings]]),0)</f>
        <v/>
      </c>
      <c r="Y22" s="215" t="str">
        <f>IFERROR(IF(Table1323[[#This Row],[Quantity of luminaires or lamps]]="","",Table1323[[#This Row],[Total Lighting Rebate Energy Savings]]),0)</f>
        <v/>
      </c>
      <c r="Z22" s="207"/>
      <c r="AA22" s="18" t="str">
        <f>IF(Table1323[[#This Row],[Selected for Implementation]]="Yes",IF(Table1323[[#This Row],[No]]="","",(CONCATENATE("Light_"&amp;Table1323[[#This Row],[Rebate Category]]&amp;Table1323[[#This Row],[LED lamp/luminaire retrofit part '#]]))),"")</f>
        <v/>
      </c>
      <c r="AB22" s="20" t="str" cm="1">
        <f t="array" ref="AB22">IFERROR(IF(Table1323[[#This Row],[Annual hours from space type]]&gt;=Table14[],Table1323[[#This Row],[Demand Savings, kW]],0),0)</f>
        <v/>
      </c>
      <c r="AC22" s="19" t="str">
        <f>IFERROR(INDEX(Table1[BC Hydro xRM ECM],MATCH(Table1323[[#This Row],[Rebate Category]],Table1[BC Hydro Rebate Category],0)),"")</f>
        <v/>
      </c>
      <c r="AD22" s="18">
        <f>IF(Table1323[[#This Row],[Selected for Implementation]]="Yes",1,0)</f>
        <v>0</v>
      </c>
      <c r="AE22" s="18" t="e">
        <f>Table1323[[#This Row],[Implement]]*Table1323[[#This Row],[Demand Savings, kW]]</f>
        <v>#VALUE!</v>
      </c>
      <c r="AF22" s="18" t="e">
        <f>Table1323[[#This Row],[Implement]]*Table1323[[#This Row],[BCH Peak kW]]</f>
        <v>#VALUE!</v>
      </c>
      <c r="AG22" s="18">
        <f>Table1323[[#This Row],[Implement]]*Table1323[[#This Row],[Rebate kWh savings]]</f>
        <v>0</v>
      </c>
      <c r="AH22" s="18">
        <f>Table1323[[#This Row],[Implement]]*Table1323[[#This Row],[Controls Rebate kWh Savings]]</f>
        <v>0</v>
      </c>
      <c r="AI22" s="233">
        <f>Table1323[[#This Row],[Implement]]*Table1323[[#This Row],[Controls Rebate]]</f>
        <v>0</v>
      </c>
      <c r="AJ22" s="569">
        <f>IF(Table1323[[#This Row],[iControls Incentives]]&gt;0,Table1323[[#This Row],[Number of  sensors]],0)</f>
        <v>0</v>
      </c>
      <c r="AK22" s="233">
        <f>Table1323[[#This Row],[Implement]]*Table1323[[#This Row],[Lighting Rebate]]</f>
        <v>0</v>
      </c>
    </row>
    <row r="23" spans="2:37" ht="32.15" customHeight="1" x14ac:dyDescent="0.3">
      <c r="B23" s="17" t="str">
        <f>IF(Table1323[[#This Row],[Space Type]]="","","L-"&amp;ROW(17:17))</f>
        <v/>
      </c>
      <c r="C23" s="206"/>
      <c r="D23" s="207"/>
      <c r="E23" s="207"/>
      <c r="F23" s="207"/>
      <c r="G23" s="208" t="str">
        <f>IFERROR(IF(Table1323[[#This Row],[No]]="","",IF(Table1323[[#This Row],[Space Type]]="","select Space Type",INDEX(Table5[Hours],MATCH(Table1323[[#This Row],[Space Type]],Table5[Space Type],0)))),"")</f>
        <v/>
      </c>
      <c r="H23" s="207"/>
      <c r="I23" s="207"/>
      <c r="J23" s="613" t="str">
        <f>IFERROR(INDEX(Table1[Integrated Controls Capable],MATCH(Table1323[[#This Row],[Rebate Category]],Table1[BC Hydro Rebate Category],0)),"")</f>
        <v/>
      </c>
      <c r="K23" s="207"/>
      <c r="L23" s="572" t="str" cm="1">
        <f t="array" ref="L23">IFERROR(INDEX(Table1[Rebate],MATCH(Table1323[[#This Row],[Rebate Category]],Table1[BC Hydro Rebate Category],0))+IF(AND(Table1323[[#This Row],[Integrated Controls Capable]],Table1323[[#This Row],[Fixture Integrated Occupancy/Daylight Harvesting Sensors?]]="Yes"),Table6[],0),"")</f>
        <v/>
      </c>
      <c r="M23" s="574" t="str">
        <f>IFERROR(IF(AND(Table1323[[#This Row],[Integrated Controls Capable]],Table1323[[#This Row],[Fixture Integrated Occupancy/Daylight Harvesting Sensors?]]="Yes"),"per integrated luminaire", INDEX(Table1[Rebate Unit],MATCH(Table1323[[#This Row],[Rebate Category]],Table1[BC Hydro Rebate Category],0))),"")</f>
        <v/>
      </c>
      <c r="N23" s="614"/>
      <c r="O23" s="207"/>
      <c r="P23" s="615"/>
      <c r="Q23" s="209">
        <f>IFERROR(Table1323[[#This Row],[Rebate per luminaire, ($)]]*Table1323[[#This Row],[Quantity of luminaires or lamps]],0)</f>
        <v>0</v>
      </c>
      <c r="R2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23" s="211" t="str">
        <f>IFERROR(IF(Table1323[[#This Row],[Quantity of luminaires or lamps]]="","",IF(Table1323[[#This Row],[Controls Rebate]]="",0,Table1323[[#This Row],[Controls Rebate]])+Table1323[[#This Row],[Lighting Rebate]]),"")</f>
        <v/>
      </c>
      <c r="T2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23" s="213">
        <f>IFERROR(Table1323[[#This Row],[Rebate kW Savings]]*Table1323[[#This Row],[Annual hours from space type]],0)</f>
        <v>0</v>
      </c>
      <c r="V2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23" s="213">
        <f>Table1323[[#This Row],[Rebate kWh savings]]+Table1323[[#This Row],[Controls Rebate kWh Savings]]</f>
        <v>0</v>
      </c>
      <c r="X23" s="214" t="str">
        <f>IFERROR(IF(Table1323[[#This Row],[Quantity of luminaires or lamps]]="","",Table1323[[#This Row],[Rebate kW Savings]]),0)</f>
        <v/>
      </c>
      <c r="Y23" s="215" t="str">
        <f>IFERROR(IF(Table1323[[#This Row],[Quantity of luminaires or lamps]]="","",Table1323[[#This Row],[Total Lighting Rebate Energy Savings]]),0)</f>
        <v/>
      </c>
      <c r="Z23" s="207"/>
      <c r="AA23" s="18" t="str">
        <f>IF(Table1323[[#This Row],[Selected for Implementation]]="Yes",IF(Table1323[[#This Row],[No]]="","",(CONCATENATE("Light_"&amp;Table1323[[#This Row],[Rebate Category]]&amp;Table1323[[#This Row],[LED lamp/luminaire retrofit part '#]]))),"")</f>
        <v/>
      </c>
      <c r="AB23" s="20" t="str" cm="1">
        <f t="array" ref="AB23">IFERROR(IF(Table1323[[#This Row],[Annual hours from space type]]&gt;=Table14[],Table1323[[#This Row],[Demand Savings, kW]],0),0)</f>
        <v/>
      </c>
      <c r="AC23" s="19" t="str">
        <f>IFERROR(INDEX(Table1[BC Hydro xRM ECM],MATCH(Table1323[[#This Row],[Rebate Category]],Table1[BC Hydro Rebate Category],0)),"")</f>
        <v/>
      </c>
      <c r="AD23" s="18">
        <f>IF(Table1323[[#This Row],[Selected for Implementation]]="Yes",1,0)</f>
        <v>0</v>
      </c>
      <c r="AE23" s="18" t="e">
        <f>Table1323[[#This Row],[Implement]]*Table1323[[#This Row],[Demand Savings, kW]]</f>
        <v>#VALUE!</v>
      </c>
      <c r="AF23" s="18" t="e">
        <f>Table1323[[#This Row],[Implement]]*Table1323[[#This Row],[BCH Peak kW]]</f>
        <v>#VALUE!</v>
      </c>
      <c r="AG23" s="18">
        <f>Table1323[[#This Row],[Implement]]*Table1323[[#This Row],[Rebate kWh savings]]</f>
        <v>0</v>
      </c>
      <c r="AH23" s="18">
        <f>Table1323[[#This Row],[Implement]]*Table1323[[#This Row],[Controls Rebate kWh Savings]]</f>
        <v>0</v>
      </c>
      <c r="AI23" s="233">
        <f>Table1323[[#This Row],[Implement]]*Table1323[[#This Row],[Controls Rebate]]</f>
        <v>0</v>
      </c>
      <c r="AJ23" s="569">
        <f>IF(Table1323[[#This Row],[iControls Incentives]]&gt;0,Table1323[[#This Row],[Number of  sensors]],0)</f>
        <v>0</v>
      </c>
      <c r="AK23" s="233">
        <f>Table1323[[#This Row],[Implement]]*Table1323[[#This Row],[Lighting Rebate]]</f>
        <v>0</v>
      </c>
    </row>
    <row r="24" spans="2:37" ht="32.15" customHeight="1" x14ac:dyDescent="0.3">
      <c r="B24" s="17" t="str">
        <f>IF(Table1323[[#This Row],[Space Type]]="","","L-"&amp;ROW(18:18))</f>
        <v/>
      </c>
      <c r="C24" s="206"/>
      <c r="D24" s="207"/>
      <c r="E24" s="207"/>
      <c r="F24" s="207"/>
      <c r="G24" s="208" t="str">
        <f>IFERROR(IF(Table1323[[#This Row],[No]]="","",IF(Table1323[[#This Row],[Space Type]]="","select Space Type",INDEX(Table5[Hours],MATCH(Table1323[[#This Row],[Space Type]],Table5[Space Type],0)))),"")</f>
        <v/>
      </c>
      <c r="H24" s="207"/>
      <c r="I24" s="207"/>
      <c r="J24" s="613" t="str">
        <f>IFERROR(INDEX(Table1[Integrated Controls Capable],MATCH(Table1323[[#This Row],[Rebate Category]],Table1[BC Hydro Rebate Category],0)),"")</f>
        <v/>
      </c>
      <c r="K24" s="207"/>
      <c r="L24" s="572" t="str" cm="1">
        <f t="array" ref="L24">IFERROR(INDEX(Table1[Rebate],MATCH(Table1323[[#This Row],[Rebate Category]],Table1[BC Hydro Rebate Category],0))+IF(AND(Table1323[[#This Row],[Integrated Controls Capable]],Table1323[[#This Row],[Fixture Integrated Occupancy/Daylight Harvesting Sensors?]]="Yes"),Table6[],0),"")</f>
        <v/>
      </c>
      <c r="M24" s="574" t="str">
        <f>IFERROR(IF(AND(Table1323[[#This Row],[Integrated Controls Capable]],Table1323[[#This Row],[Fixture Integrated Occupancy/Daylight Harvesting Sensors?]]="Yes"),"per integrated luminaire", INDEX(Table1[Rebate Unit],MATCH(Table1323[[#This Row],[Rebate Category]],Table1[BC Hydro Rebate Category],0))),"")</f>
        <v/>
      </c>
      <c r="N24" s="614"/>
      <c r="O24" s="207"/>
      <c r="P24" s="615"/>
      <c r="Q24" s="209">
        <f>IFERROR(Table1323[[#This Row],[Rebate per luminaire, ($)]]*Table1323[[#This Row],[Quantity of luminaires or lamps]],0)</f>
        <v>0</v>
      </c>
      <c r="R2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24" s="211" t="str">
        <f>IFERROR(IF(Table1323[[#This Row],[Quantity of luminaires or lamps]]="","",IF(Table1323[[#This Row],[Controls Rebate]]="",0,Table1323[[#This Row],[Controls Rebate]])+Table1323[[#This Row],[Lighting Rebate]]),"")</f>
        <v/>
      </c>
      <c r="T2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24" s="213">
        <f>IFERROR(Table1323[[#This Row],[Rebate kW Savings]]*Table1323[[#This Row],[Annual hours from space type]],0)</f>
        <v>0</v>
      </c>
      <c r="V2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24" s="213">
        <f>Table1323[[#This Row],[Rebate kWh savings]]+Table1323[[#This Row],[Controls Rebate kWh Savings]]</f>
        <v>0</v>
      </c>
      <c r="X24" s="214" t="str">
        <f>IFERROR(IF(Table1323[[#This Row],[Quantity of luminaires or lamps]]="","",Table1323[[#This Row],[Rebate kW Savings]]),0)</f>
        <v/>
      </c>
      <c r="Y24" s="215" t="str">
        <f>IFERROR(IF(Table1323[[#This Row],[Quantity of luminaires or lamps]]="","",Table1323[[#This Row],[Total Lighting Rebate Energy Savings]]),0)</f>
        <v/>
      </c>
      <c r="Z24" s="207"/>
      <c r="AA24" s="18" t="str">
        <f>IF(Table1323[[#This Row],[Selected for Implementation]]="Yes",IF(Table1323[[#This Row],[No]]="","",(CONCATENATE("Light_"&amp;Table1323[[#This Row],[Rebate Category]]&amp;Table1323[[#This Row],[LED lamp/luminaire retrofit part '#]]))),"")</f>
        <v/>
      </c>
      <c r="AB24" s="20" t="str" cm="1">
        <f t="array" ref="AB24">IFERROR(IF(Table1323[[#This Row],[Annual hours from space type]]&gt;=Table14[],Table1323[[#This Row],[Demand Savings, kW]],0),0)</f>
        <v/>
      </c>
      <c r="AC24" s="19" t="str">
        <f>IFERROR(INDEX(Table1[BC Hydro xRM ECM],MATCH(Table1323[[#This Row],[Rebate Category]],Table1[BC Hydro Rebate Category],0)),"")</f>
        <v/>
      </c>
      <c r="AD24" s="18">
        <f>IF(Table1323[[#This Row],[Selected for Implementation]]="Yes",1,0)</f>
        <v>0</v>
      </c>
      <c r="AE24" s="18" t="e">
        <f>Table1323[[#This Row],[Implement]]*Table1323[[#This Row],[Demand Savings, kW]]</f>
        <v>#VALUE!</v>
      </c>
      <c r="AF24" s="18" t="e">
        <f>Table1323[[#This Row],[Implement]]*Table1323[[#This Row],[BCH Peak kW]]</f>
        <v>#VALUE!</v>
      </c>
      <c r="AG24" s="18">
        <f>Table1323[[#This Row],[Implement]]*Table1323[[#This Row],[Rebate kWh savings]]</f>
        <v>0</v>
      </c>
      <c r="AH24" s="18">
        <f>Table1323[[#This Row],[Implement]]*Table1323[[#This Row],[Controls Rebate kWh Savings]]</f>
        <v>0</v>
      </c>
      <c r="AI24" s="233">
        <f>Table1323[[#This Row],[Implement]]*Table1323[[#This Row],[Controls Rebate]]</f>
        <v>0</v>
      </c>
      <c r="AJ24" s="569">
        <f>IF(Table1323[[#This Row],[iControls Incentives]]&gt;0,Table1323[[#This Row],[Number of  sensors]],0)</f>
        <v>0</v>
      </c>
      <c r="AK24" s="233">
        <f>Table1323[[#This Row],[Implement]]*Table1323[[#This Row],[Lighting Rebate]]</f>
        <v>0</v>
      </c>
    </row>
    <row r="25" spans="2:37" ht="32.15" customHeight="1" x14ac:dyDescent="0.3">
      <c r="B25" s="17" t="str">
        <f>IF(Table1323[[#This Row],[Space Type]]="","","L-"&amp;ROW(19:19))</f>
        <v/>
      </c>
      <c r="C25" s="206"/>
      <c r="D25" s="207"/>
      <c r="E25" s="207"/>
      <c r="F25" s="207"/>
      <c r="G25" s="208" t="str">
        <f>IFERROR(IF(Table1323[[#This Row],[No]]="","",IF(Table1323[[#This Row],[Space Type]]="","select Space Type",INDEX(Table5[Hours],MATCH(Table1323[[#This Row],[Space Type]],Table5[Space Type],0)))),"")</f>
        <v/>
      </c>
      <c r="H25" s="207"/>
      <c r="I25" s="207"/>
      <c r="J25" s="613" t="str">
        <f>IFERROR(INDEX(Table1[Integrated Controls Capable],MATCH(Table1323[[#This Row],[Rebate Category]],Table1[BC Hydro Rebate Category],0)),"")</f>
        <v/>
      </c>
      <c r="K25" s="207"/>
      <c r="L25" s="572" t="str" cm="1">
        <f t="array" ref="L25">IFERROR(INDEX(Table1[Rebate],MATCH(Table1323[[#This Row],[Rebate Category]],Table1[BC Hydro Rebate Category],0))+IF(AND(Table1323[[#This Row],[Integrated Controls Capable]],Table1323[[#This Row],[Fixture Integrated Occupancy/Daylight Harvesting Sensors?]]="Yes"),Table6[],0),"")</f>
        <v/>
      </c>
      <c r="M25" s="574" t="str">
        <f>IFERROR(IF(AND(Table1323[[#This Row],[Integrated Controls Capable]],Table1323[[#This Row],[Fixture Integrated Occupancy/Daylight Harvesting Sensors?]]="Yes"),"per integrated luminaire", INDEX(Table1[Rebate Unit],MATCH(Table1323[[#This Row],[Rebate Category]],Table1[BC Hydro Rebate Category],0))),"")</f>
        <v/>
      </c>
      <c r="N25" s="207"/>
      <c r="O25" s="207"/>
      <c r="P25" s="206"/>
      <c r="Q25" s="209">
        <f>IFERROR(Table1323[[#This Row],[Rebate per luminaire, ($)]]*Table1323[[#This Row],[Quantity of luminaires or lamps]],0)</f>
        <v>0</v>
      </c>
      <c r="R2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25" s="211" t="str">
        <f>IFERROR(IF(Table1323[[#This Row],[Quantity of luminaires or lamps]]="","",IF(Table1323[[#This Row],[Controls Rebate]]="",0,Table1323[[#This Row],[Controls Rebate]])+Table1323[[#This Row],[Lighting Rebate]]),"")</f>
        <v/>
      </c>
      <c r="T2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25" s="213">
        <f>IFERROR(Table1323[[#This Row],[Rebate kW Savings]]*Table1323[[#This Row],[Annual hours from space type]],0)</f>
        <v>0</v>
      </c>
      <c r="V2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25" s="213">
        <f>Table1323[[#This Row],[Rebate kWh savings]]+Table1323[[#This Row],[Controls Rebate kWh Savings]]</f>
        <v>0</v>
      </c>
      <c r="X25" s="214" t="str">
        <f>IFERROR(IF(Table1323[[#This Row],[Quantity of luminaires or lamps]]="","",Table1323[[#This Row],[Rebate kW Savings]]),0)</f>
        <v/>
      </c>
      <c r="Y25" s="215" t="str">
        <f>IFERROR(IF(Table1323[[#This Row],[Quantity of luminaires or lamps]]="","",Table1323[[#This Row],[Total Lighting Rebate Energy Savings]]),0)</f>
        <v/>
      </c>
      <c r="Z25" s="207"/>
      <c r="AA25" s="18" t="str">
        <f>IF(Table1323[[#This Row],[Selected for Implementation]]="Yes",IF(Table1323[[#This Row],[No]]="","",(CONCATENATE("Light_"&amp;Table1323[[#This Row],[Rebate Category]]&amp;Table1323[[#This Row],[LED lamp/luminaire retrofit part '#]]))),"")</f>
        <v/>
      </c>
      <c r="AB25" s="20" t="str" cm="1">
        <f t="array" ref="AB25">IFERROR(IF(Table1323[[#This Row],[Annual hours from space type]]&gt;=Table14[],Table1323[[#This Row],[Demand Savings, kW]],0),0)</f>
        <v/>
      </c>
      <c r="AC25" s="19" t="str">
        <f>IFERROR(INDEX(Table1[BC Hydro xRM ECM],MATCH(Table1323[[#This Row],[Rebate Category]],Table1[BC Hydro Rebate Category],0)),"")</f>
        <v/>
      </c>
      <c r="AD25" s="18">
        <f>IF(Table1323[[#This Row],[Selected for Implementation]]="Yes",1,0)</f>
        <v>0</v>
      </c>
      <c r="AE25" s="18" t="e">
        <f>Table1323[[#This Row],[Implement]]*Table1323[[#This Row],[Demand Savings, kW]]</f>
        <v>#VALUE!</v>
      </c>
      <c r="AF25" s="18" t="e">
        <f>Table1323[[#This Row],[Implement]]*Table1323[[#This Row],[BCH Peak kW]]</f>
        <v>#VALUE!</v>
      </c>
      <c r="AG25" s="18">
        <f>Table1323[[#This Row],[Implement]]*Table1323[[#This Row],[Rebate kWh savings]]</f>
        <v>0</v>
      </c>
      <c r="AH25" s="18">
        <f>Table1323[[#This Row],[Implement]]*Table1323[[#This Row],[Controls Rebate kWh Savings]]</f>
        <v>0</v>
      </c>
      <c r="AI25" s="233">
        <f>Table1323[[#This Row],[Implement]]*Table1323[[#This Row],[Controls Rebate]]</f>
        <v>0</v>
      </c>
      <c r="AJ25" s="569">
        <f>IF(Table1323[[#This Row],[iControls Incentives]]&gt;0,Table1323[[#This Row],[Number of  sensors]],0)</f>
        <v>0</v>
      </c>
      <c r="AK25" s="233">
        <f>Table1323[[#This Row],[Implement]]*Table1323[[#This Row],[Lighting Rebate]]</f>
        <v>0</v>
      </c>
    </row>
    <row r="26" spans="2:37" ht="32.15" customHeight="1" x14ac:dyDescent="0.3">
      <c r="B26" s="17" t="str">
        <f>IF(Table1323[[#This Row],[Space Type]]="","","L-"&amp;ROW(20:20))</f>
        <v/>
      </c>
      <c r="C26" s="206"/>
      <c r="D26" s="207"/>
      <c r="E26" s="207"/>
      <c r="F26" s="207"/>
      <c r="G26" s="208" t="str">
        <f>IFERROR(IF(Table1323[[#This Row],[No]]="","",IF(Table1323[[#This Row],[Space Type]]="","select Space Type",INDEX(Table5[Hours],MATCH(Table1323[[#This Row],[Space Type]],Table5[Space Type],0)))),"")</f>
        <v/>
      </c>
      <c r="H26" s="207"/>
      <c r="I26" s="207"/>
      <c r="J26" s="613" t="str">
        <f>IFERROR(INDEX(Table1[Integrated Controls Capable],MATCH(Table1323[[#This Row],[Rebate Category]],Table1[BC Hydro Rebate Category],0)),"")</f>
        <v/>
      </c>
      <c r="K26" s="207"/>
      <c r="L26" s="572" t="str" cm="1">
        <f t="array" ref="L26">IFERROR(INDEX(Table1[Rebate],MATCH(Table1323[[#This Row],[Rebate Category]],Table1[BC Hydro Rebate Category],0))+IF(AND(Table1323[[#This Row],[Integrated Controls Capable]],Table1323[[#This Row],[Fixture Integrated Occupancy/Daylight Harvesting Sensors?]]="Yes"),Table6[],0),"")</f>
        <v/>
      </c>
      <c r="M26" s="574" t="str">
        <f>IFERROR(IF(AND(Table1323[[#This Row],[Integrated Controls Capable]],Table1323[[#This Row],[Fixture Integrated Occupancy/Daylight Harvesting Sensors?]]="Yes"),"per integrated luminaire", INDEX(Table1[Rebate Unit],MATCH(Table1323[[#This Row],[Rebate Category]],Table1[BC Hydro Rebate Category],0))),"")</f>
        <v/>
      </c>
      <c r="N26" s="207"/>
      <c r="O26" s="207"/>
      <c r="P26" s="206"/>
      <c r="Q26" s="209">
        <f>IFERROR(Table1323[[#This Row],[Rebate per luminaire, ($)]]*Table1323[[#This Row],[Quantity of luminaires or lamps]],0)</f>
        <v>0</v>
      </c>
      <c r="R2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26" s="211" t="str">
        <f>IFERROR(IF(Table1323[[#This Row],[Quantity of luminaires or lamps]]="","",IF(Table1323[[#This Row],[Controls Rebate]]="",0,Table1323[[#This Row],[Controls Rebate]])+Table1323[[#This Row],[Lighting Rebate]]),"")</f>
        <v/>
      </c>
      <c r="T2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26" s="213">
        <f>IFERROR(Table1323[[#This Row],[Rebate kW Savings]]*Table1323[[#This Row],[Annual hours from space type]],0)</f>
        <v>0</v>
      </c>
      <c r="V2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26" s="213">
        <f>Table1323[[#This Row],[Rebate kWh savings]]+Table1323[[#This Row],[Controls Rebate kWh Savings]]</f>
        <v>0</v>
      </c>
      <c r="X26" s="214" t="str">
        <f>IFERROR(IF(Table1323[[#This Row],[Quantity of luminaires or lamps]]="","",Table1323[[#This Row],[Rebate kW Savings]]),0)</f>
        <v/>
      </c>
      <c r="Y26" s="215" t="str">
        <f>IFERROR(IF(Table1323[[#This Row],[Quantity of luminaires or lamps]]="","",Table1323[[#This Row],[Total Lighting Rebate Energy Savings]]),0)</f>
        <v/>
      </c>
      <c r="Z26" s="207"/>
      <c r="AA26" s="18" t="str">
        <f>IF(Table1323[[#This Row],[Selected for Implementation]]="Yes",IF(Table1323[[#This Row],[No]]="","",(CONCATENATE("Light_"&amp;Table1323[[#This Row],[Rebate Category]]&amp;Table1323[[#This Row],[LED lamp/luminaire retrofit part '#]]))),"")</f>
        <v/>
      </c>
      <c r="AB26" s="20" t="str" cm="1">
        <f t="array" ref="AB26">IFERROR(IF(Table1323[[#This Row],[Annual hours from space type]]&gt;=Table14[],Table1323[[#This Row],[Demand Savings, kW]],0),0)</f>
        <v/>
      </c>
      <c r="AC26" s="19" t="str">
        <f>IFERROR(INDEX(Table1[BC Hydro xRM ECM],MATCH(Table1323[[#This Row],[Rebate Category]],Table1[BC Hydro Rebate Category],0)),"")</f>
        <v/>
      </c>
      <c r="AD26" s="18">
        <f>IF(Table1323[[#This Row],[Selected for Implementation]]="Yes",1,0)</f>
        <v>0</v>
      </c>
      <c r="AE26" s="18" t="e">
        <f>Table1323[[#This Row],[Implement]]*Table1323[[#This Row],[Demand Savings, kW]]</f>
        <v>#VALUE!</v>
      </c>
      <c r="AF26" s="18" t="e">
        <f>Table1323[[#This Row],[Implement]]*Table1323[[#This Row],[BCH Peak kW]]</f>
        <v>#VALUE!</v>
      </c>
      <c r="AG26" s="18">
        <f>Table1323[[#This Row],[Implement]]*Table1323[[#This Row],[Rebate kWh savings]]</f>
        <v>0</v>
      </c>
      <c r="AH26" s="18">
        <f>Table1323[[#This Row],[Implement]]*Table1323[[#This Row],[Controls Rebate kWh Savings]]</f>
        <v>0</v>
      </c>
      <c r="AI26" s="233">
        <f>Table1323[[#This Row],[Implement]]*Table1323[[#This Row],[Controls Rebate]]</f>
        <v>0</v>
      </c>
      <c r="AJ26" s="569">
        <f>IF(Table1323[[#This Row],[iControls Incentives]]&gt;0,Table1323[[#This Row],[Number of  sensors]],0)</f>
        <v>0</v>
      </c>
      <c r="AK26" s="233">
        <f>Table1323[[#This Row],[Implement]]*Table1323[[#This Row],[Lighting Rebate]]</f>
        <v>0</v>
      </c>
    </row>
    <row r="27" spans="2:37" ht="32.15" customHeight="1" x14ac:dyDescent="0.3">
      <c r="B27" s="17" t="str">
        <f>IF(Table1323[[#This Row],[Space Type]]="","","L-"&amp;ROW(21:21))</f>
        <v/>
      </c>
      <c r="C27" s="206"/>
      <c r="D27" s="207"/>
      <c r="E27" s="207"/>
      <c r="F27" s="207"/>
      <c r="G27" s="208" t="str">
        <f>IFERROR(IF(Table1323[[#This Row],[No]]="","",IF(Table1323[[#This Row],[Space Type]]="","select Space Type",INDEX(Table5[Hours],MATCH(Table1323[[#This Row],[Space Type]],Table5[Space Type],0)))),"")</f>
        <v/>
      </c>
      <c r="H27" s="207"/>
      <c r="I27" s="207"/>
      <c r="J27" s="613" t="str">
        <f>IFERROR(INDEX(Table1[Integrated Controls Capable],MATCH(Table1323[[#This Row],[Rebate Category]],Table1[BC Hydro Rebate Category],0)),"")</f>
        <v/>
      </c>
      <c r="K27" s="207"/>
      <c r="L27" s="572" t="str" cm="1">
        <f t="array" ref="L27">IFERROR(INDEX(Table1[Rebate],MATCH(Table1323[[#This Row],[Rebate Category]],Table1[BC Hydro Rebate Category],0))+IF(AND(Table1323[[#This Row],[Integrated Controls Capable]],Table1323[[#This Row],[Fixture Integrated Occupancy/Daylight Harvesting Sensors?]]="Yes"),Table6[],0),"")</f>
        <v/>
      </c>
      <c r="M27" s="574" t="str">
        <f>IFERROR(IF(AND(Table1323[[#This Row],[Integrated Controls Capable]],Table1323[[#This Row],[Fixture Integrated Occupancy/Daylight Harvesting Sensors?]]="Yes"),"per integrated luminaire", INDEX(Table1[Rebate Unit],MATCH(Table1323[[#This Row],[Rebate Category]],Table1[BC Hydro Rebate Category],0))),"")</f>
        <v/>
      </c>
      <c r="N27" s="207"/>
      <c r="O27" s="207"/>
      <c r="P27" s="206"/>
      <c r="Q27" s="209">
        <f>IFERROR(Table1323[[#This Row],[Rebate per luminaire, ($)]]*Table1323[[#This Row],[Quantity of luminaires or lamps]],0)</f>
        <v>0</v>
      </c>
      <c r="R2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27" s="211" t="str">
        <f>IFERROR(IF(Table1323[[#This Row],[Quantity of luminaires or lamps]]="","",IF(Table1323[[#This Row],[Controls Rebate]]="",0,Table1323[[#This Row],[Controls Rebate]])+Table1323[[#This Row],[Lighting Rebate]]),"")</f>
        <v/>
      </c>
      <c r="T2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27" s="213">
        <f>IFERROR(Table1323[[#This Row],[Rebate kW Savings]]*Table1323[[#This Row],[Annual hours from space type]],0)</f>
        <v>0</v>
      </c>
      <c r="V2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27" s="213">
        <f>Table1323[[#This Row],[Rebate kWh savings]]+Table1323[[#This Row],[Controls Rebate kWh Savings]]</f>
        <v>0</v>
      </c>
      <c r="X27" s="214" t="str">
        <f>IFERROR(IF(Table1323[[#This Row],[Quantity of luminaires or lamps]]="","",Table1323[[#This Row],[Rebate kW Savings]]),0)</f>
        <v/>
      </c>
      <c r="Y27" s="215" t="str">
        <f>IFERROR(IF(Table1323[[#This Row],[Quantity of luminaires or lamps]]="","",Table1323[[#This Row],[Total Lighting Rebate Energy Savings]]),0)</f>
        <v/>
      </c>
      <c r="Z27" s="207"/>
      <c r="AA27" s="18" t="str">
        <f>IF(Table1323[[#This Row],[Selected for Implementation]]="Yes",IF(Table1323[[#This Row],[No]]="","",(CONCATENATE("Light_"&amp;Table1323[[#This Row],[Rebate Category]]&amp;Table1323[[#This Row],[LED lamp/luminaire retrofit part '#]]))),"")</f>
        <v/>
      </c>
      <c r="AB27" s="20" t="str" cm="1">
        <f t="array" ref="AB27">IFERROR(IF(Table1323[[#This Row],[Annual hours from space type]]&gt;=Table14[],Table1323[[#This Row],[Demand Savings, kW]],0),0)</f>
        <v/>
      </c>
      <c r="AC27" s="19" t="str">
        <f>IFERROR(INDEX(Table1[BC Hydro xRM ECM],MATCH(Table1323[[#This Row],[Rebate Category]],Table1[BC Hydro Rebate Category],0)),"")</f>
        <v/>
      </c>
      <c r="AD27" s="18">
        <f>IF(Table1323[[#This Row],[Selected for Implementation]]="Yes",1,0)</f>
        <v>0</v>
      </c>
      <c r="AE27" s="18" t="e">
        <f>Table1323[[#This Row],[Implement]]*Table1323[[#This Row],[Demand Savings, kW]]</f>
        <v>#VALUE!</v>
      </c>
      <c r="AF27" s="18" t="e">
        <f>Table1323[[#This Row],[Implement]]*Table1323[[#This Row],[BCH Peak kW]]</f>
        <v>#VALUE!</v>
      </c>
      <c r="AG27" s="18">
        <f>Table1323[[#This Row],[Implement]]*Table1323[[#This Row],[Rebate kWh savings]]</f>
        <v>0</v>
      </c>
      <c r="AH27" s="18">
        <f>Table1323[[#This Row],[Implement]]*Table1323[[#This Row],[Controls Rebate kWh Savings]]</f>
        <v>0</v>
      </c>
      <c r="AI27" s="233">
        <f>Table1323[[#This Row],[Implement]]*Table1323[[#This Row],[Controls Rebate]]</f>
        <v>0</v>
      </c>
      <c r="AJ27" s="569">
        <f>IF(Table1323[[#This Row],[iControls Incentives]]&gt;0,Table1323[[#This Row],[Number of  sensors]],0)</f>
        <v>0</v>
      </c>
      <c r="AK27" s="233">
        <f>Table1323[[#This Row],[Implement]]*Table1323[[#This Row],[Lighting Rebate]]</f>
        <v>0</v>
      </c>
    </row>
    <row r="28" spans="2:37" ht="32.15" customHeight="1" x14ac:dyDescent="0.3">
      <c r="B28" s="17" t="str">
        <f>IF(Table1323[[#This Row],[Space Type]]="","","L-"&amp;ROW(22:22))</f>
        <v/>
      </c>
      <c r="C28" s="206"/>
      <c r="D28" s="207"/>
      <c r="E28" s="207"/>
      <c r="F28" s="207"/>
      <c r="G28" s="208" t="str">
        <f>IFERROR(IF(Table1323[[#This Row],[No]]="","",IF(Table1323[[#This Row],[Space Type]]="","select Space Type",INDEX(Table5[Hours],MATCH(Table1323[[#This Row],[Space Type]],Table5[Space Type],0)))),"")</f>
        <v/>
      </c>
      <c r="H28" s="207"/>
      <c r="I28" s="207"/>
      <c r="J28" s="613" t="str">
        <f>IFERROR(INDEX(Table1[Integrated Controls Capable],MATCH(Table1323[[#This Row],[Rebate Category]],Table1[BC Hydro Rebate Category],0)),"")</f>
        <v/>
      </c>
      <c r="K28" s="207"/>
      <c r="L28" s="572" t="str" cm="1">
        <f t="array" ref="L28">IFERROR(INDEX(Table1[Rebate],MATCH(Table1323[[#This Row],[Rebate Category]],Table1[BC Hydro Rebate Category],0))+IF(AND(Table1323[[#This Row],[Integrated Controls Capable]],Table1323[[#This Row],[Fixture Integrated Occupancy/Daylight Harvesting Sensors?]]="Yes"),Table6[],0),"")</f>
        <v/>
      </c>
      <c r="M28" s="574" t="str">
        <f>IFERROR(IF(AND(Table1323[[#This Row],[Integrated Controls Capable]],Table1323[[#This Row],[Fixture Integrated Occupancy/Daylight Harvesting Sensors?]]="Yes"),"per integrated luminaire", INDEX(Table1[Rebate Unit],MATCH(Table1323[[#This Row],[Rebate Category]],Table1[BC Hydro Rebate Category],0))),"")</f>
        <v/>
      </c>
      <c r="N28" s="207"/>
      <c r="O28" s="207"/>
      <c r="P28" s="206"/>
      <c r="Q28" s="209">
        <f>IFERROR(Table1323[[#This Row],[Rebate per luminaire, ($)]]*Table1323[[#This Row],[Quantity of luminaires or lamps]],0)</f>
        <v>0</v>
      </c>
      <c r="R2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28" s="211" t="str">
        <f>IFERROR(IF(Table1323[[#This Row],[Quantity of luminaires or lamps]]="","",IF(Table1323[[#This Row],[Controls Rebate]]="",0,Table1323[[#This Row],[Controls Rebate]])+Table1323[[#This Row],[Lighting Rebate]]),"")</f>
        <v/>
      </c>
      <c r="T2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28" s="213">
        <f>IFERROR(Table1323[[#This Row],[Rebate kW Savings]]*Table1323[[#This Row],[Annual hours from space type]],0)</f>
        <v>0</v>
      </c>
      <c r="V2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28" s="213">
        <f>Table1323[[#This Row],[Rebate kWh savings]]+Table1323[[#This Row],[Controls Rebate kWh Savings]]</f>
        <v>0</v>
      </c>
      <c r="X28" s="214" t="str">
        <f>IFERROR(IF(Table1323[[#This Row],[Quantity of luminaires or lamps]]="","",Table1323[[#This Row],[Rebate kW Savings]]),0)</f>
        <v/>
      </c>
      <c r="Y28" s="215" t="str">
        <f>IFERROR(IF(Table1323[[#This Row],[Quantity of luminaires or lamps]]="","",Table1323[[#This Row],[Total Lighting Rebate Energy Savings]]),0)</f>
        <v/>
      </c>
      <c r="Z28" s="207"/>
      <c r="AA28" s="18" t="str">
        <f>IF(Table1323[[#This Row],[Selected for Implementation]]="Yes",IF(Table1323[[#This Row],[No]]="","",(CONCATENATE("Light_"&amp;Table1323[[#This Row],[Rebate Category]]&amp;Table1323[[#This Row],[LED lamp/luminaire retrofit part '#]]))),"")</f>
        <v/>
      </c>
      <c r="AB28" s="20" t="str" cm="1">
        <f t="array" ref="AB28">IFERROR(IF(Table1323[[#This Row],[Annual hours from space type]]&gt;=Table14[],Table1323[[#This Row],[Demand Savings, kW]],0),0)</f>
        <v/>
      </c>
      <c r="AC28" s="19" t="str">
        <f>IFERROR(INDEX(Table1[BC Hydro xRM ECM],MATCH(Table1323[[#This Row],[Rebate Category]],Table1[BC Hydro Rebate Category],0)),"")</f>
        <v/>
      </c>
      <c r="AD28" s="18">
        <f>IF(Table1323[[#This Row],[Selected for Implementation]]="Yes",1,0)</f>
        <v>0</v>
      </c>
      <c r="AE28" s="18" t="e">
        <f>Table1323[[#This Row],[Implement]]*Table1323[[#This Row],[Demand Savings, kW]]</f>
        <v>#VALUE!</v>
      </c>
      <c r="AF28" s="18" t="e">
        <f>Table1323[[#This Row],[Implement]]*Table1323[[#This Row],[BCH Peak kW]]</f>
        <v>#VALUE!</v>
      </c>
      <c r="AG28" s="18">
        <f>Table1323[[#This Row],[Implement]]*Table1323[[#This Row],[Rebate kWh savings]]</f>
        <v>0</v>
      </c>
      <c r="AH28" s="18">
        <f>Table1323[[#This Row],[Implement]]*Table1323[[#This Row],[Controls Rebate kWh Savings]]</f>
        <v>0</v>
      </c>
      <c r="AI28" s="233">
        <f>Table1323[[#This Row],[Implement]]*Table1323[[#This Row],[Controls Rebate]]</f>
        <v>0</v>
      </c>
      <c r="AJ28" s="569">
        <f>IF(Table1323[[#This Row],[iControls Incentives]]&gt;0,Table1323[[#This Row],[Number of  sensors]],0)</f>
        <v>0</v>
      </c>
      <c r="AK28" s="233">
        <f>Table1323[[#This Row],[Implement]]*Table1323[[#This Row],[Lighting Rebate]]</f>
        <v>0</v>
      </c>
    </row>
    <row r="29" spans="2:37" ht="32.15" customHeight="1" x14ac:dyDescent="0.3">
      <c r="B29" s="17" t="str">
        <f>IF(Table1323[[#This Row],[Space Type]]="","","L-"&amp;ROW(23:23))</f>
        <v/>
      </c>
      <c r="C29" s="206"/>
      <c r="D29" s="207"/>
      <c r="E29" s="207"/>
      <c r="F29" s="207"/>
      <c r="G29" s="208" t="str">
        <f>IFERROR(IF(Table1323[[#This Row],[No]]="","",IF(Table1323[[#This Row],[Space Type]]="","select Space Type",INDEX(Table5[Hours],MATCH(Table1323[[#This Row],[Space Type]],Table5[Space Type],0)))),"")</f>
        <v/>
      </c>
      <c r="H29" s="207"/>
      <c r="I29" s="207"/>
      <c r="J29" s="613" t="str">
        <f>IFERROR(INDEX(Table1[Integrated Controls Capable],MATCH(Table1323[[#This Row],[Rebate Category]],Table1[BC Hydro Rebate Category],0)),"")</f>
        <v/>
      </c>
      <c r="K29" s="207"/>
      <c r="L29" s="572" t="str" cm="1">
        <f t="array" ref="L29">IFERROR(INDEX(Table1[Rebate],MATCH(Table1323[[#This Row],[Rebate Category]],Table1[BC Hydro Rebate Category],0))+IF(AND(Table1323[[#This Row],[Integrated Controls Capable]],Table1323[[#This Row],[Fixture Integrated Occupancy/Daylight Harvesting Sensors?]]="Yes"),Table6[],0),"")</f>
        <v/>
      </c>
      <c r="M29" s="574" t="str">
        <f>IFERROR(IF(AND(Table1323[[#This Row],[Integrated Controls Capable]],Table1323[[#This Row],[Fixture Integrated Occupancy/Daylight Harvesting Sensors?]]="Yes"),"per integrated luminaire", INDEX(Table1[Rebate Unit],MATCH(Table1323[[#This Row],[Rebate Category]],Table1[BC Hydro Rebate Category],0))),"")</f>
        <v/>
      </c>
      <c r="N29" s="207"/>
      <c r="O29" s="207"/>
      <c r="P29" s="206"/>
      <c r="Q29" s="209">
        <f>IFERROR(Table1323[[#This Row],[Rebate per luminaire, ($)]]*Table1323[[#This Row],[Quantity of luminaires or lamps]],0)</f>
        <v>0</v>
      </c>
      <c r="R2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29" s="211" t="str">
        <f>IFERROR(IF(Table1323[[#This Row],[Quantity of luminaires or lamps]]="","",IF(Table1323[[#This Row],[Controls Rebate]]="",0,Table1323[[#This Row],[Controls Rebate]])+Table1323[[#This Row],[Lighting Rebate]]),"")</f>
        <v/>
      </c>
      <c r="T2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29" s="213">
        <f>IFERROR(Table1323[[#This Row],[Rebate kW Savings]]*Table1323[[#This Row],[Annual hours from space type]],0)</f>
        <v>0</v>
      </c>
      <c r="V2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29" s="213">
        <f>Table1323[[#This Row],[Rebate kWh savings]]+Table1323[[#This Row],[Controls Rebate kWh Savings]]</f>
        <v>0</v>
      </c>
      <c r="X29" s="214" t="str">
        <f>IFERROR(IF(Table1323[[#This Row],[Quantity of luminaires or lamps]]="","",Table1323[[#This Row],[Rebate kW Savings]]),0)</f>
        <v/>
      </c>
      <c r="Y29" s="215" t="str">
        <f>IFERROR(IF(Table1323[[#This Row],[Quantity of luminaires or lamps]]="","",Table1323[[#This Row],[Total Lighting Rebate Energy Savings]]),0)</f>
        <v/>
      </c>
      <c r="Z29" s="207"/>
      <c r="AA29" s="18" t="str">
        <f>IF(Table1323[[#This Row],[Selected for Implementation]]="Yes",IF(Table1323[[#This Row],[No]]="","",(CONCATENATE("Light_"&amp;Table1323[[#This Row],[Rebate Category]]&amp;Table1323[[#This Row],[LED lamp/luminaire retrofit part '#]]))),"")</f>
        <v/>
      </c>
      <c r="AB29" s="20" t="str" cm="1">
        <f t="array" ref="AB29">IFERROR(IF(Table1323[[#This Row],[Annual hours from space type]]&gt;=Table14[],Table1323[[#This Row],[Demand Savings, kW]],0),0)</f>
        <v/>
      </c>
      <c r="AC29" s="19" t="str">
        <f>IFERROR(INDEX(Table1[BC Hydro xRM ECM],MATCH(Table1323[[#This Row],[Rebate Category]],Table1[BC Hydro Rebate Category],0)),"")</f>
        <v/>
      </c>
      <c r="AD29" s="18">
        <f>IF(Table1323[[#This Row],[Selected for Implementation]]="Yes",1,0)</f>
        <v>0</v>
      </c>
      <c r="AE29" s="18" t="e">
        <f>Table1323[[#This Row],[Implement]]*Table1323[[#This Row],[Demand Savings, kW]]</f>
        <v>#VALUE!</v>
      </c>
      <c r="AF29" s="18" t="e">
        <f>Table1323[[#This Row],[Implement]]*Table1323[[#This Row],[BCH Peak kW]]</f>
        <v>#VALUE!</v>
      </c>
      <c r="AG29" s="18">
        <f>Table1323[[#This Row],[Implement]]*Table1323[[#This Row],[Rebate kWh savings]]</f>
        <v>0</v>
      </c>
      <c r="AH29" s="18">
        <f>Table1323[[#This Row],[Implement]]*Table1323[[#This Row],[Controls Rebate kWh Savings]]</f>
        <v>0</v>
      </c>
      <c r="AI29" s="233">
        <f>Table1323[[#This Row],[Implement]]*Table1323[[#This Row],[Controls Rebate]]</f>
        <v>0</v>
      </c>
      <c r="AJ29" s="569">
        <f>IF(Table1323[[#This Row],[iControls Incentives]]&gt;0,Table1323[[#This Row],[Number of  sensors]],0)</f>
        <v>0</v>
      </c>
      <c r="AK29" s="233">
        <f>Table1323[[#This Row],[Implement]]*Table1323[[#This Row],[Lighting Rebate]]</f>
        <v>0</v>
      </c>
    </row>
    <row r="30" spans="2:37" ht="32.15" customHeight="1" x14ac:dyDescent="0.3">
      <c r="B30" s="17" t="str">
        <f>IF(Table1323[[#This Row],[Space Type]]="","","L-"&amp;ROW(24:24))</f>
        <v/>
      </c>
      <c r="C30" s="206"/>
      <c r="D30" s="207"/>
      <c r="E30" s="207"/>
      <c r="F30" s="207"/>
      <c r="G30" s="208" t="str">
        <f>IFERROR(IF(Table1323[[#This Row],[No]]="","",IF(Table1323[[#This Row],[Space Type]]="","select Space Type",INDEX(Table5[Hours],MATCH(Table1323[[#This Row],[Space Type]],Table5[Space Type],0)))),"")</f>
        <v/>
      </c>
      <c r="H30" s="207"/>
      <c r="I30" s="207"/>
      <c r="J30" s="613" t="str">
        <f>IFERROR(INDEX(Table1[Integrated Controls Capable],MATCH(Table1323[[#This Row],[Rebate Category]],Table1[BC Hydro Rebate Category],0)),"")</f>
        <v/>
      </c>
      <c r="K30" s="207"/>
      <c r="L30" s="572" t="str" cm="1">
        <f t="array" ref="L30">IFERROR(INDEX(Table1[Rebate],MATCH(Table1323[[#This Row],[Rebate Category]],Table1[BC Hydro Rebate Category],0))+IF(AND(Table1323[[#This Row],[Integrated Controls Capable]],Table1323[[#This Row],[Fixture Integrated Occupancy/Daylight Harvesting Sensors?]]="Yes"),Table6[],0),"")</f>
        <v/>
      </c>
      <c r="M30" s="574" t="str">
        <f>IFERROR(IF(AND(Table1323[[#This Row],[Integrated Controls Capable]],Table1323[[#This Row],[Fixture Integrated Occupancy/Daylight Harvesting Sensors?]]="Yes"),"per integrated luminaire", INDEX(Table1[Rebate Unit],MATCH(Table1323[[#This Row],[Rebate Category]],Table1[BC Hydro Rebate Category],0))),"")</f>
        <v/>
      </c>
      <c r="N30" s="207"/>
      <c r="O30" s="207"/>
      <c r="P30" s="206"/>
      <c r="Q30" s="209">
        <f>IFERROR(Table1323[[#This Row],[Rebate per luminaire, ($)]]*Table1323[[#This Row],[Quantity of luminaires or lamps]],0)</f>
        <v>0</v>
      </c>
      <c r="R3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30" s="211" t="str">
        <f>IFERROR(IF(Table1323[[#This Row],[Quantity of luminaires or lamps]]="","",IF(Table1323[[#This Row],[Controls Rebate]]="",0,Table1323[[#This Row],[Controls Rebate]])+Table1323[[#This Row],[Lighting Rebate]]),"")</f>
        <v/>
      </c>
      <c r="T3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30" s="213">
        <f>IFERROR(Table1323[[#This Row],[Rebate kW Savings]]*Table1323[[#This Row],[Annual hours from space type]],0)</f>
        <v>0</v>
      </c>
      <c r="V3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30" s="213">
        <f>Table1323[[#This Row],[Rebate kWh savings]]+Table1323[[#This Row],[Controls Rebate kWh Savings]]</f>
        <v>0</v>
      </c>
      <c r="X30" s="214" t="str">
        <f>IFERROR(IF(Table1323[[#This Row],[Quantity of luminaires or lamps]]="","",Table1323[[#This Row],[Rebate kW Savings]]),0)</f>
        <v/>
      </c>
      <c r="Y30" s="215" t="str">
        <f>IFERROR(IF(Table1323[[#This Row],[Quantity of luminaires or lamps]]="","",Table1323[[#This Row],[Total Lighting Rebate Energy Savings]]),0)</f>
        <v/>
      </c>
      <c r="Z30" s="207"/>
      <c r="AA30" s="18" t="str">
        <f>IF(Table1323[[#This Row],[Selected for Implementation]]="Yes",IF(Table1323[[#This Row],[No]]="","",(CONCATENATE("Light_"&amp;Table1323[[#This Row],[Rebate Category]]&amp;Table1323[[#This Row],[LED lamp/luminaire retrofit part '#]]))),"")</f>
        <v/>
      </c>
      <c r="AB30" s="20" t="str" cm="1">
        <f t="array" ref="AB30">IFERROR(IF(Table1323[[#This Row],[Annual hours from space type]]&gt;=Table14[],Table1323[[#This Row],[Demand Savings, kW]],0),0)</f>
        <v/>
      </c>
      <c r="AC30" s="19" t="str">
        <f>IFERROR(INDEX(Table1[BC Hydro xRM ECM],MATCH(Table1323[[#This Row],[Rebate Category]],Table1[BC Hydro Rebate Category],0)),"")</f>
        <v/>
      </c>
      <c r="AD30" s="18">
        <f>IF(Table1323[[#This Row],[Selected for Implementation]]="Yes",1,0)</f>
        <v>0</v>
      </c>
      <c r="AE30" s="18" t="e">
        <f>Table1323[[#This Row],[Implement]]*Table1323[[#This Row],[Demand Savings, kW]]</f>
        <v>#VALUE!</v>
      </c>
      <c r="AF30" s="18" t="e">
        <f>Table1323[[#This Row],[Implement]]*Table1323[[#This Row],[BCH Peak kW]]</f>
        <v>#VALUE!</v>
      </c>
      <c r="AG30" s="18">
        <f>Table1323[[#This Row],[Implement]]*Table1323[[#This Row],[Rebate kWh savings]]</f>
        <v>0</v>
      </c>
      <c r="AH30" s="18">
        <f>Table1323[[#This Row],[Implement]]*Table1323[[#This Row],[Controls Rebate kWh Savings]]</f>
        <v>0</v>
      </c>
      <c r="AI30" s="233">
        <f>Table1323[[#This Row],[Implement]]*Table1323[[#This Row],[Controls Rebate]]</f>
        <v>0</v>
      </c>
      <c r="AJ30" s="569">
        <f>IF(Table1323[[#This Row],[iControls Incentives]]&gt;0,Table1323[[#This Row],[Number of  sensors]],0)</f>
        <v>0</v>
      </c>
      <c r="AK30" s="233">
        <f>Table1323[[#This Row],[Implement]]*Table1323[[#This Row],[Lighting Rebate]]</f>
        <v>0</v>
      </c>
    </row>
    <row r="31" spans="2:37" ht="32.15" customHeight="1" x14ac:dyDescent="0.3">
      <c r="B31" s="17" t="str">
        <f>IF(Table1323[[#This Row],[Space Type]]="","","L-"&amp;ROW(25:25))</f>
        <v/>
      </c>
      <c r="C31" s="206"/>
      <c r="D31" s="207"/>
      <c r="E31" s="207"/>
      <c r="F31" s="207"/>
      <c r="G31" s="208" t="str">
        <f>IFERROR(IF(Table1323[[#This Row],[No]]="","",IF(Table1323[[#This Row],[Space Type]]="","select Space Type",INDEX(Table5[Hours],MATCH(Table1323[[#This Row],[Space Type]],Table5[Space Type],0)))),"")</f>
        <v/>
      </c>
      <c r="H31" s="207"/>
      <c r="I31" s="207"/>
      <c r="J31" s="613" t="str">
        <f>IFERROR(INDEX(Table1[Integrated Controls Capable],MATCH(Table1323[[#This Row],[Rebate Category]],Table1[BC Hydro Rebate Category],0)),"")</f>
        <v/>
      </c>
      <c r="K31" s="207"/>
      <c r="L31" s="572" t="str" cm="1">
        <f t="array" ref="L31">IFERROR(INDEX(Table1[Rebate],MATCH(Table1323[[#This Row],[Rebate Category]],Table1[BC Hydro Rebate Category],0))+IF(AND(Table1323[[#This Row],[Integrated Controls Capable]],Table1323[[#This Row],[Fixture Integrated Occupancy/Daylight Harvesting Sensors?]]="Yes"),Table6[],0),"")</f>
        <v/>
      </c>
      <c r="M31" s="574" t="str">
        <f>IFERROR(IF(AND(Table1323[[#This Row],[Integrated Controls Capable]],Table1323[[#This Row],[Fixture Integrated Occupancy/Daylight Harvesting Sensors?]]="Yes"),"per integrated luminaire", INDEX(Table1[Rebate Unit],MATCH(Table1323[[#This Row],[Rebate Category]],Table1[BC Hydro Rebate Category],0))),"")</f>
        <v/>
      </c>
      <c r="N31" s="207"/>
      <c r="O31" s="207"/>
      <c r="P31" s="206"/>
      <c r="Q31" s="209">
        <f>IFERROR(Table1323[[#This Row],[Rebate per luminaire, ($)]]*Table1323[[#This Row],[Quantity of luminaires or lamps]],0)</f>
        <v>0</v>
      </c>
      <c r="R3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31" s="211" t="str">
        <f>IFERROR(IF(Table1323[[#This Row],[Quantity of luminaires or lamps]]="","",IF(Table1323[[#This Row],[Controls Rebate]]="",0,Table1323[[#This Row],[Controls Rebate]])+Table1323[[#This Row],[Lighting Rebate]]),"")</f>
        <v/>
      </c>
      <c r="T3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31" s="213">
        <f>IFERROR(Table1323[[#This Row],[Rebate kW Savings]]*Table1323[[#This Row],[Annual hours from space type]],0)</f>
        <v>0</v>
      </c>
      <c r="V3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31" s="213">
        <f>Table1323[[#This Row],[Rebate kWh savings]]+Table1323[[#This Row],[Controls Rebate kWh Savings]]</f>
        <v>0</v>
      </c>
      <c r="X31" s="214" t="str">
        <f>IFERROR(IF(Table1323[[#This Row],[Quantity of luminaires or lamps]]="","",Table1323[[#This Row],[Rebate kW Savings]]),0)</f>
        <v/>
      </c>
      <c r="Y31" s="215" t="str">
        <f>IFERROR(IF(Table1323[[#This Row],[Quantity of luminaires or lamps]]="","",Table1323[[#This Row],[Total Lighting Rebate Energy Savings]]),0)</f>
        <v/>
      </c>
      <c r="Z31" s="207"/>
      <c r="AA31" s="18" t="str">
        <f>IF(Table1323[[#This Row],[Selected for Implementation]]="Yes",IF(Table1323[[#This Row],[No]]="","",(CONCATENATE("Light_"&amp;Table1323[[#This Row],[Rebate Category]]&amp;Table1323[[#This Row],[LED lamp/luminaire retrofit part '#]]))),"")</f>
        <v/>
      </c>
      <c r="AB31" s="20" t="str" cm="1">
        <f t="array" ref="AB31">IFERROR(IF(Table1323[[#This Row],[Annual hours from space type]]&gt;=Table14[],Table1323[[#This Row],[Demand Savings, kW]],0),0)</f>
        <v/>
      </c>
      <c r="AC31" s="19" t="str">
        <f>IFERROR(INDEX(Table1[BC Hydro xRM ECM],MATCH(Table1323[[#This Row],[Rebate Category]],Table1[BC Hydro Rebate Category],0)),"")</f>
        <v/>
      </c>
      <c r="AD31" s="18">
        <f>IF(Table1323[[#This Row],[Selected for Implementation]]="Yes",1,0)</f>
        <v>0</v>
      </c>
      <c r="AE31" s="18" t="e">
        <f>Table1323[[#This Row],[Implement]]*Table1323[[#This Row],[Demand Savings, kW]]</f>
        <v>#VALUE!</v>
      </c>
      <c r="AF31" s="18" t="e">
        <f>Table1323[[#This Row],[Implement]]*Table1323[[#This Row],[BCH Peak kW]]</f>
        <v>#VALUE!</v>
      </c>
      <c r="AG31" s="18">
        <f>Table1323[[#This Row],[Implement]]*Table1323[[#This Row],[Rebate kWh savings]]</f>
        <v>0</v>
      </c>
      <c r="AH31" s="18">
        <f>Table1323[[#This Row],[Implement]]*Table1323[[#This Row],[Controls Rebate kWh Savings]]</f>
        <v>0</v>
      </c>
      <c r="AI31" s="233">
        <f>Table1323[[#This Row],[Implement]]*Table1323[[#This Row],[Controls Rebate]]</f>
        <v>0</v>
      </c>
      <c r="AJ31" s="569">
        <f>IF(Table1323[[#This Row],[iControls Incentives]]&gt;0,Table1323[[#This Row],[Number of  sensors]],0)</f>
        <v>0</v>
      </c>
      <c r="AK31" s="233">
        <f>Table1323[[#This Row],[Implement]]*Table1323[[#This Row],[Lighting Rebate]]</f>
        <v>0</v>
      </c>
    </row>
    <row r="32" spans="2:37" ht="32.15" customHeight="1" x14ac:dyDescent="0.3">
      <c r="B32" s="17" t="str">
        <f>IF(Table1323[[#This Row],[Space Type]]="","","L-"&amp;ROW(26:26))</f>
        <v/>
      </c>
      <c r="C32" s="206"/>
      <c r="D32" s="207"/>
      <c r="E32" s="207"/>
      <c r="F32" s="207"/>
      <c r="G32" s="208" t="str">
        <f>IFERROR(IF(Table1323[[#This Row],[No]]="","",IF(Table1323[[#This Row],[Space Type]]="","select Space Type",INDEX(Table5[Hours],MATCH(Table1323[[#This Row],[Space Type]],Table5[Space Type],0)))),"")</f>
        <v/>
      </c>
      <c r="H32" s="207"/>
      <c r="I32" s="207"/>
      <c r="J32" s="613" t="str">
        <f>IFERROR(INDEX(Table1[Integrated Controls Capable],MATCH(Table1323[[#This Row],[Rebate Category]],Table1[BC Hydro Rebate Category],0)),"")</f>
        <v/>
      </c>
      <c r="K32" s="207"/>
      <c r="L32" s="572" t="str" cm="1">
        <f t="array" ref="L32">IFERROR(INDEX(Table1[Rebate],MATCH(Table1323[[#This Row],[Rebate Category]],Table1[BC Hydro Rebate Category],0))+IF(AND(Table1323[[#This Row],[Integrated Controls Capable]],Table1323[[#This Row],[Fixture Integrated Occupancy/Daylight Harvesting Sensors?]]="Yes"),Table6[],0),"")</f>
        <v/>
      </c>
      <c r="M32" s="574" t="str">
        <f>IFERROR(IF(AND(Table1323[[#This Row],[Integrated Controls Capable]],Table1323[[#This Row],[Fixture Integrated Occupancy/Daylight Harvesting Sensors?]]="Yes"),"per integrated luminaire", INDEX(Table1[Rebate Unit],MATCH(Table1323[[#This Row],[Rebate Category]],Table1[BC Hydro Rebate Category],0))),"")</f>
        <v/>
      </c>
      <c r="N32" s="207"/>
      <c r="O32" s="207"/>
      <c r="P32" s="206"/>
      <c r="Q32" s="209">
        <f>IFERROR(Table1323[[#This Row],[Rebate per luminaire, ($)]]*Table1323[[#This Row],[Quantity of luminaires or lamps]],0)</f>
        <v>0</v>
      </c>
      <c r="R3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32" s="211" t="str">
        <f>IFERROR(IF(Table1323[[#This Row],[Quantity of luminaires or lamps]]="","",IF(Table1323[[#This Row],[Controls Rebate]]="",0,Table1323[[#This Row],[Controls Rebate]])+Table1323[[#This Row],[Lighting Rebate]]),"")</f>
        <v/>
      </c>
      <c r="T3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32" s="213">
        <f>IFERROR(Table1323[[#This Row],[Rebate kW Savings]]*Table1323[[#This Row],[Annual hours from space type]],0)</f>
        <v>0</v>
      </c>
      <c r="V3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32" s="213">
        <f>Table1323[[#This Row],[Rebate kWh savings]]+Table1323[[#This Row],[Controls Rebate kWh Savings]]</f>
        <v>0</v>
      </c>
      <c r="X32" s="214" t="str">
        <f>IFERROR(IF(Table1323[[#This Row],[Quantity of luminaires or lamps]]="","",Table1323[[#This Row],[Rebate kW Savings]]),0)</f>
        <v/>
      </c>
      <c r="Y32" s="215" t="str">
        <f>IFERROR(IF(Table1323[[#This Row],[Quantity of luminaires or lamps]]="","",Table1323[[#This Row],[Total Lighting Rebate Energy Savings]]),0)</f>
        <v/>
      </c>
      <c r="Z32" s="207"/>
      <c r="AA32" s="18" t="str">
        <f>IF(Table1323[[#This Row],[Selected for Implementation]]="Yes",IF(Table1323[[#This Row],[No]]="","",(CONCATENATE("Light_"&amp;Table1323[[#This Row],[Rebate Category]]&amp;Table1323[[#This Row],[LED lamp/luminaire retrofit part '#]]))),"")</f>
        <v/>
      </c>
      <c r="AB32" s="20" t="str" cm="1">
        <f t="array" ref="AB32">IFERROR(IF(Table1323[[#This Row],[Annual hours from space type]]&gt;=Table14[],Table1323[[#This Row],[Demand Savings, kW]],0),0)</f>
        <v/>
      </c>
      <c r="AC32" s="19" t="str">
        <f>IFERROR(INDEX(Table1[BC Hydro xRM ECM],MATCH(Table1323[[#This Row],[Rebate Category]],Table1[BC Hydro Rebate Category],0)),"")</f>
        <v/>
      </c>
      <c r="AD32" s="18">
        <f>IF(Table1323[[#This Row],[Selected for Implementation]]="Yes",1,0)</f>
        <v>0</v>
      </c>
      <c r="AE32" s="18" t="e">
        <f>Table1323[[#This Row],[Implement]]*Table1323[[#This Row],[Demand Savings, kW]]</f>
        <v>#VALUE!</v>
      </c>
      <c r="AF32" s="18" t="e">
        <f>Table1323[[#This Row],[Implement]]*Table1323[[#This Row],[BCH Peak kW]]</f>
        <v>#VALUE!</v>
      </c>
      <c r="AG32" s="18">
        <f>Table1323[[#This Row],[Implement]]*Table1323[[#This Row],[Rebate kWh savings]]</f>
        <v>0</v>
      </c>
      <c r="AH32" s="18">
        <f>Table1323[[#This Row],[Implement]]*Table1323[[#This Row],[Controls Rebate kWh Savings]]</f>
        <v>0</v>
      </c>
      <c r="AI32" s="233">
        <f>Table1323[[#This Row],[Implement]]*Table1323[[#This Row],[Controls Rebate]]</f>
        <v>0</v>
      </c>
      <c r="AJ32" s="569">
        <f>IF(Table1323[[#This Row],[iControls Incentives]]&gt;0,Table1323[[#This Row],[Number of  sensors]],0)</f>
        <v>0</v>
      </c>
      <c r="AK32" s="233">
        <f>Table1323[[#This Row],[Implement]]*Table1323[[#This Row],[Lighting Rebate]]</f>
        <v>0</v>
      </c>
    </row>
    <row r="33" spans="2:37" ht="32.15" customHeight="1" x14ac:dyDescent="0.3">
      <c r="B33" s="17" t="str">
        <f>IF(Table1323[[#This Row],[Space Type]]="","","L-"&amp;ROW(27:27))</f>
        <v/>
      </c>
      <c r="C33" s="206"/>
      <c r="D33" s="207"/>
      <c r="E33" s="207"/>
      <c r="F33" s="207"/>
      <c r="G33" s="208" t="str">
        <f>IFERROR(IF(Table1323[[#This Row],[No]]="","",IF(Table1323[[#This Row],[Space Type]]="","select Space Type",INDEX(Table5[Hours],MATCH(Table1323[[#This Row],[Space Type]],Table5[Space Type],0)))),"")</f>
        <v/>
      </c>
      <c r="H33" s="207"/>
      <c r="I33" s="207"/>
      <c r="J33" s="613" t="str">
        <f>IFERROR(INDEX(Table1[Integrated Controls Capable],MATCH(Table1323[[#This Row],[Rebate Category]],Table1[BC Hydro Rebate Category],0)),"")</f>
        <v/>
      </c>
      <c r="K33" s="207"/>
      <c r="L33" s="572" t="str" cm="1">
        <f t="array" ref="L33">IFERROR(INDEX(Table1[Rebate],MATCH(Table1323[[#This Row],[Rebate Category]],Table1[BC Hydro Rebate Category],0))+IF(AND(Table1323[[#This Row],[Integrated Controls Capable]],Table1323[[#This Row],[Fixture Integrated Occupancy/Daylight Harvesting Sensors?]]="Yes"),Table6[],0),"")</f>
        <v/>
      </c>
      <c r="M33" s="574" t="str">
        <f>IFERROR(IF(AND(Table1323[[#This Row],[Integrated Controls Capable]],Table1323[[#This Row],[Fixture Integrated Occupancy/Daylight Harvesting Sensors?]]="Yes"),"per integrated luminaire", INDEX(Table1[Rebate Unit],MATCH(Table1323[[#This Row],[Rebate Category]],Table1[BC Hydro Rebate Category],0))),"")</f>
        <v/>
      </c>
      <c r="N33" s="207"/>
      <c r="O33" s="207"/>
      <c r="P33" s="206"/>
      <c r="Q33" s="209">
        <f>IFERROR(Table1323[[#This Row],[Rebate per luminaire, ($)]]*Table1323[[#This Row],[Quantity of luminaires or lamps]],0)</f>
        <v>0</v>
      </c>
      <c r="R3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33" s="211" t="str">
        <f>IFERROR(IF(Table1323[[#This Row],[Quantity of luminaires or lamps]]="","",IF(Table1323[[#This Row],[Controls Rebate]]="",0,Table1323[[#This Row],[Controls Rebate]])+Table1323[[#This Row],[Lighting Rebate]]),"")</f>
        <v/>
      </c>
      <c r="T3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33" s="213">
        <f>IFERROR(Table1323[[#This Row],[Rebate kW Savings]]*Table1323[[#This Row],[Annual hours from space type]],0)</f>
        <v>0</v>
      </c>
      <c r="V3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33" s="213">
        <f>Table1323[[#This Row],[Rebate kWh savings]]+Table1323[[#This Row],[Controls Rebate kWh Savings]]</f>
        <v>0</v>
      </c>
      <c r="X33" s="214" t="str">
        <f>IFERROR(IF(Table1323[[#This Row],[Quantity of luminaires or lamps]]="","",Table1323[[#This Row],[Rebate kW Savings]]),0)</f>
        <v/>
      </c>
      <c r="Y33" s="215" t="str">
        <f>IFERROR(IF(Table1323[[#This Row],[Quantity of luminaires or lamps]]="","",Table1323[[#This Row],[Total Lighting Rebate Energy Savings]]),0)</f>
        <v/>
      </c>
      <c r="Z33" s="207"/>
      <c r="AA33" s="18" t="str">
        <f>IF(Table1323[[#This Row],[Selected for Implementation]]="Yes",IF(Table1323[[#This Row],[No]]="","",(CONCATENATE("Light_"&amp;Table1323[[#This Row],[Rebate Category]]&amp;Table1323[[#This Row],[LED lamp/luminaire retrofit part '#]]))),"")</f>
        <v/>
      </c>
      <c r="AB33" s="20" t="str" cm="1">
        <f t="array" ref="AB33">IFERROR(IF(Table1323[[#This Row],[Annual hours from space type]]&gt;=Table14[],Table1323[[#This Row],[Demand Savings, kW]],0),0)</f>
        <v/>
      </c>
      <c r="AC33" s="19" t="str">
        <f>IFERROR(INDEX(Table1[BC Hydro xRM ECM],MATCH(Table1323[[#This Row],[Rebate Category]],Table1[BC Hydro Rebate Category],0)),"")</f>
        <v/>
      </c>
      <c r="AD33" s="18">
        <f>IF(Table1323[[#This Row],[Selected for Implementation]]="Yes",1,0)</f>
        <v>0</v>
      </c>
      <c r="AE33" s="18" t="e">
        <f>Table1323[[#This Row],[Implement]]*Table1323[[#This Row],[Demand Savings, kW]]</f>
        <v>#VALUE!</v>
      </c>
      <c r="AF33" s="18" t="e">
        <f>Table1323[[#This Row],[Implement]]*Table1323[[#This Row],[BCH Peak kW]]</f>
        <v>#VALUE!</v>
      </c>
      <c r="AG33" s="18">
        <f>Table1323[[#This Row],[Implement]]*Table1323[[#This Row],[Rebate kWh savings]]</f>
        <v>0</v>
      </c>
      <c r="AH33" s="18">
        <f>Table1323[[#This Row],[Implement]]*Table1323[[#This Row],[Controls Rebate kWh Savings]]</f>
        <v>0</v>
      </c>
      <c r="AI33" s="233">
        <f>Table1323[[#This Row],[Implement]]*Table1323[[#This Row],[Controls Rebate]]</f>
        <v>0</v>
      </c>
      <c r="AJ33" s="569">
        <f>IF(Table1323[[#This Row],[iControls Incentives]]&gt;0,Table1323[[#This Row],[Number of  sensors]],0)</f>
        <v>0</v>
      </c>
      <c r="AK33" s="233">
        <f>Table1323[[#This Row],[Implement]]*Table1323[[#This Row],[Lighting Rebate]]</f>
        <v>0</v>
      </c>
    </row>
    <row r="34" spans="2:37" ht="32.15" customHeight="1" x14ac:dyDescent="0.3">
      <c r="B34" s="17" t="str">
        <f>IF(Table1323[[#This Row],[Space Type]]="","","L-"&amp;ROW(28:28))</f>
        <v/>
      </c>
      <c r="C34" s="206"/>
      <c r="D34" s="207"/>
      <c r="E34" s="207"/>
      <c r="F34" s="207"/>
      <c r="G34" s="208" t="str">
        <f>IFERROR(IF(Table1323[[#This Row],[No]]="","",IF(Table1323[[#This Row],[Space Type]]="","select Space Type",INDEX(Table5[Hours],MATCH(Table1323[[#This Row],[Space Type]],Table5[Space Type],0)))),"")</f>
        <v/>
      </c>
      <c r="H34" s="207"/>
      <c r="I34" s="207"/>
      <c r="J34" s="613" t="str">
        <f>IFERROR(INDEX(Table1[Integrated Controls Capable],MATCH(Table1323[[#This Row],[Rebate Category]],Table1[BC Hydro Rebate Category],0)),"")</f>
        <v/>
      </c>
      <c r="K34" s="207"/>
      <c r="L34" s="572" t="str" cm="1">
        <f t="array" ref="L34">IFERROR(INDEX(Table1[Rebate],MATCH(Table1323[[#This Row],[Rebate Category]],Table1[BC Hydro Rebate Category],0))+IF(AND(Table1323[[#This Row],[Integrated Controls Capable]],Table1323[[#This Row],[Fixture Integrated Occupancy/Daylight Harvesting Sensors?]]="Yes"),Table6[],0),"")</f>
        <v/>
      </c>
      <c r="M34" s="574" t="str">
        <f>IFERROR(IF(AND(Table1323[[#This Row],[Integrated Controls Capable]],Table1323[[#This Row],[Fixture Integrated Occupancy/Daylight Harvesting Sensors?]]="Yes"),"per integrated luminaire", INDEX(Table1[Rebate Unit],MATCH(Table1323[[#This Row],[Rebate Category]],Table1[BC Hydro Rebate Category],0))),"")</f>
        <v/>
      </c>
      <c r="N34" s="207"/>
      <c r="O34" s="207"/>
      <c r="P34" s="206"/>
      <c r="Q34" s="209">
        <f>IFERROR(Table1323[[#This Row],[Rebate per luminaire, ($)]]*Table1323[[#This Row],[Quantity of luminaires or lamps]],0)</f>
        <v>0</v>
      </c>
      <c r="R3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34" s="211" t="str">
        <f>IFERROR(IF(Table1323[[#This Row],[Quantity of luminaires or lamps]]="","",IF(Table1323[[#This Row],[Controls Rebate]]="",0,Table1323[[#This Row],[Controls Rebate]])+Table1323[[#This Row],[Lighting Rebate]]),"")</f>
        <v/>
      </c>
      <c r="T3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34" s="213">
        <f>IFERROR(Table1323[[#This Row],[Rebate kW Savings]]*Table1323[[#This Row],[Annual hours from space type]],0)</f>
        <v>0</v>
      </c>
      <c r="V3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34" s="213">
        <f>Table1323[[#This Row],[Rebate kWh savings]]+Table1323[[#This Row],[Controls Rebate kWh Savings]]</f>
        <v>0</v>
      </c>
      <c r="X34" s="214" t="str">
        <f>IFERROR(IF(Table1323[[#This Row],[Quantity of luminaires or lamps]]="","",Table1323[[#This Row],[Rebate kW Savings]]),0)</f>
        <v/>
      </c>
      <c r="Y34" s="215" t="str">
        <f>IFERROR(IF(Table1323[[#This Row],[Quantity of luminaires or lamps]]="","",Table1323[[#This Row],[Total Lighting Rebate Energy Savings]]),0)</f>
        <v/>
      </c>
      <c r="Z34" s="207"/>
      <c r="AA34" s="18" t="str">
        <f>IF(Table1323[[#This Row],[Selected for Implementation]]="Yes",IF(Table1323[[#This Row],[No]]="","",(CONCATENATE("Light_"&amp;Table1323[[#This Row],[Rebate Category]]&amp;Table1323[[#This Row],[LED lamp/luminaire retrofit part '#]]))),"")</f>
        <v/>
      </c>
      <c r="AB34" s="20" t="str" cm="1">
        <f t="array" ref="AB34">IFERROR(IF(Table1323[[#This Row],[Annual hours from space type]]&gt;=Table14[],Table1323[[#This Row],[Demand Savings, kW]],0),0)</f>
        <v/>
      </c>
      <c r="AC34" s="19" t="str">
        <f>IFERROR(INDEX(Table1[BC Hydro xRM ECM],MATCH(Table1323[[#This Row],[Rebate Category]],Table1[BC Hydro Rebate Category],0)),"")</f>
        <v/>
      </c>
      <c r="AD34" s="18">
        <f>IF(Table1323[[#This Row],[Selected for Implementation]]="Yes",1,0)</f>
        <v>0</v>
      </c>
      <c r="AE34" s="18" t="e">
        <f>Table1323[[#This Row],[Implement]]*Table1323[[#This Row],[Demand Savings, kW]]</f>
        <v>#VALUE!</v>
      </c>
      <c r="AF34" s="18" t="e">
        <f>Table1323[[#This Row],[Implement]]*Table1323[[#This Row],[BCH Peak kW]]</f>
        <v>#VALUE!</v>
      </c>
      <c r="AG34" s="18">
        <f>Table1323[[#This Row],[Implement]]*Table1323[[#This Row],[Rebate kWh savings]]</f>
        <v>0</v>
      </c>
      <c r="AH34" s="18">
        <f>Table1323[[#This Row],[Implement]]*Table1323[[#This Row],[Controls Rebate kWh Savings]]</f>
        <v>0</v>
      </c>
      <c r="AI34" s="233">
        <f>Table1323[[#This Row],[Implement]]*Table1323[[#This Row],[Controls Rebate]]</f>
        <v>0</v>
      </c>
      <c r="AJ34" s="569">
        <f>IF(Table1323[[#This Row],[iControls Incentives]]&gt;0,Table1323[[#This Row],[Number of  sensors]],0)</f>
        <v>0</v>
      </c>
      <c r="AK34" s="233">
        <f>Table1323[[#This Row],[Implement]]*Table1323[[#This Row],[Lighting Rebate]]</f>
        <v>0</v>
      </c>
    </row>
    <row r="35" spans="2:37" ht="32.15" customHeight="1" x14ac:dyDescent="0.3">
      <c r="B35" s="17" t="str">
        <f>IF(Table1323[[#This Row],[Space Type]]="","","L-"&amp;ROW(29:29))</f>
        <v/>
      </c>
      <c r="C35" s="206"/>
      <c r="D35" s="207"/>
      <c r="E35" s="207"/>
      <c r="F35" s="207"/>
      <c r="G35" s="208" t="str">
        <f>IFERROR(IF(Table1323[[#This Row],[No]]="","",IF(Table1323[[#This Row],[Space Type]]="","select Space Type",INDEX(Table5[Hours],MATCH(Table1323[[#This Row],[Space Type]],Table5[Space Type],0)))),"")</f>
        <v/>
      </c>
      <c r="H35" s="207"/>
      <c r="I35" s="207"/>
      <c r="J35" s="613" t="str">
        <f>IFERROR(INDEX(Table1[Integrated Controls Capable],MATCH(Table1323[[#This Row],[Rebate Category]],Table1[BC Hydro Rebate Category],0)),"")</f>
        <v/>
      </c>
      <c r="K35" s="207"/>
      <c r="L35" s="572" t="str" cm="1">
        <f t="array" ref="L35">IFERROR(INDEX(Table1[Rebate],MATCH(Table1323[[#This Row],[Rebate Category]],Table1[BC Hydro Rebate Category],0))+IF(AND(Table1323[[#This Row],[Integrated Controls Capable]],Table1323[[#This Row],[Fixture Integrated Occupancy/Daylight Harvesting Sensors?]]="Yes"),Table6[],0),"")</f>
        <v/>
      </c>
      <c r="M35" s="574" t="str">
        <f>IFERROR(IF(AND(Table1323[[#This Row],[Integrated Controls Capable]],Table1323[[#This Row],[Fixture Integrated Occupancy/Daylight Harvesting Sensors?]]="Yes"),"per integrated luminaire", INDEX(Table1[Rebate Unit],MATCH(Table1323[[#This Row],[Rebate Category]],Table1[BC Hydro Rebate Category],0))),"")</f>
        <v/>
      </c>
      <c r="N35" s="207"/>
      <c r="O35" s="207"/>
      <c r="P35" s="206"/>
      <c r="Q35" s="209">
        <f>IFERROR(Table1323[[#This Row],[Rebate per luminaire, ($)]]*Table1323[[#This Row],[Quantity of luminaires or lamps]],0)</f>
        <v>0</v>
      </c>
      <c r="R3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35" s="211" t="str">
        <f>IFERROR(IF(Table1323[[#This Row],[Quantity of luminaires or lamps]]="","",IF(Table1323[[#This Row],[Controls Rebate]]="",0,Table1323[[#This Row],[Controls Rebate]])+Table1323[[#This Row],[Lighting Rebate]]),"")</f>
        <v/>
      </c>
      <c r="T3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35" s="213">
        <f>IFERROR(Table1323[[#This Row],[Rebate kW Savings]]*Table1323[[#This Row],[Annual hours from space type]],0)</f>
        <v>0</v>
      </c>
      <c r="V3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35" s="213">
        <f>Table1323[[#This Row],[Rebate kWh savings]]+Table1323[[#This Row],[Controls Rebate kWh Savings]]</f>
        <v>0</v>
      </c>
      <c r="X35" s="214" t="str">
        <f>IFERROR(IF(Table1323[[#This Row],[Quantity of luminaires or lamps]]="","",Table1323[[#This Row],[Rebate kW Savings]]),0)</f>
        <v/>
      </c>
      <c r="Y35" s="215" t="str">
        <f>IFERROR(IF(Table1323[[#This Row],[Quantity of luminaires or lamps]]="","",Table1323[[#This Row],[Total Lighting Rebate Energy Savings]]),0)</f>
        <v/>
      </c>
      <c r="Z35" s="207"/>
      <c r="AA35" s="18" t="str">
        <f>IF(Table1323[[#This Row],[Selected for Implementation]]="Yes",IF(Table1323[[#This Row],[No]]="","",(CONCATENATE("Light_"&amp;Table1323[[#This Row],[Rebate Category]]&amp;Table1323[[#This Row],[LED lamp/luminaire retrofit part '#]]))),"")</f>
        <v/>
      </c>
      <c r="AB35" s="20" t="str" cm="1">
        <f t="array" ref="AB35">IFERROR(IF(Table1323[[#This Row],[Annual hours from space type]]&gt;=Table14[],Table1323[[#This Row],[Demand Savings, kW]],0),0)</f>
        <v/>
      </c>
      <c r="AC35" s="19" t="str">
        <f>IFERROR(INDEX(Table1[BC Hydro xRM ECM],MATCH(Table1323[[#This Row],[Rebate Category]],Table1[BC Hydro Rebate Category],0)),"")</f>
        <v/>
      </c>
      <c r="AD35" s="18">
        <f>IF(Table1323[[#This Row],[Selected for Implementation]]="Yes",1,0)</f>
        <v>0</v>
      </c>
      <c r="AE35" s="18" t="e">
        <f>Table1323[[#This Row],[Implement]]*Table1323[[#This Row],[Demand Savings, kW]]</f>
        <v>#VALUE!</v>
      </c>
      <c r="AF35" s="18" t="e">
        <f>Table1323[[#This Row],[Implement]]*Table1323[[#This Row],[BCH Peak kW]]</f>
        <v>#VALUE!</v>
      </c>
      <c r="AG35" s="18">
        <f>Table1323[[#This Row],[Implement]]*Table1323[[#This Row],[Rebate kWh savings]]</f>
        <v>0</v>
      </c>
      <c r="AH35" s="18">
        <f>Table1323[[#This Row],[Implement]]*Table1323[[#This Row],[Controls Rebate kWh Savings]]</f>
        <v>0</v>
      </c>
      <c r="AI35" s="233">
        <f>Table1323[[#This Row],[Implement]]*Table1323[[#This Row],[Controls Rebate]]</f>
        <v>0</v>
      </c>
      <c r="AJ35" s="569">
        <f>IF(Table1323[[#This Row],[iControls Incentives]]&gt;0,Table1323[[#This Row],[Number of  sensors]],0)</f>
        <v>0</v>
      </c>
      <c r="AK35" s="233">
        <f>Table1323[[#This Row],[Implement]]*Table1323[[#This Row],[Lighting Rebate]]</f>
        <v>0</v>
      </c>
    </row>
    <row r="36" spans="2:37" ht="32.15" customHeight="1" x14ac:dyDescent="0.3">
      <c r="B36" s="17" t="str">
        <f>IF(Table1323[[#This Row],[Space Type]]="","","L-"&amp;ROW(30:30))</f>
        <v/>
      </c>
      <c r="C36" s="206"/>
      <c r="D36" s="207"/>
      <c r="E36" s="207"/>
      <c r="F36" s="207"/>
      <c r="G36" s="208" t="str">
        <f>IFERROR(IF(Table1323[[#This Row],[No]]="","",IF(Table1323[[#This Row],[Space Type]]="","select Space Type",INDEX(Table5[Hours],MATCH(Table1323[[#This Row],[Space Type]],Table5[Space Type],0)))),"")</f>
        <v/>
      </c>
      <c r="H36" s="207"/>
      <c r="I36" s="207"/>
      <c r="J36" s="613" t="str">
        <f>IFERROR(INDEX(Table1[Integrated Controls Capable],MATCH(Table1323[[#This Row],[Rebate Category]],Table1[BC Hydro Rebate Category],0)),"")</f>
        <v/>
      </c>
      <c r="K36" s="207"/>
      <c r="L36" s="572" t="str" cm="1">
        <f t="array" ref="L36">IFERROR(INDEX(Table1[Rebate],MATCH(Table1323[[#This Row],[Rebate Category]],Table1[BC Hydro Rebate Category],0))+IF(AND(Table1323[[#This Row],[Integrated Controls Capable]],Table1323[[#This Row],[Fixture Integrated Occupancy/Daylight Harvesting Sensors?]]="Yes"),Table6[],0),"")</f>
        <v/>
      </c>
      <c r="M36" s="574" t="str">
        <f>IFERROR(IF(AND(Table1323[[#This Row],[Integrated Controls Capable]],Table1323[[#This Row],[Fixture Integrated Occupancy/Daylight Harvesting Sensors?]]="Yes"),"per integrated luminaire", INDEX(Table1[Rebate Unit],MATCH(Table1323[[#This Row],[Rebate Category]],Table1[BC Hydro Rebate Category],0))),"")</f>
        <v/>
      </c>
      <c r="N36" s="207"/>
      <c r="O36" s="207"/>
      <c r="P36" s="206"/>
      <c r="Q36" s="209">
        <f>IFERROR(Table1323[[#This Row],[Rebate per luminaire, ($)]]*Table1323[[#This Row],[Quantity of luminaires or lamps]],0)</f>
        <v>0</v>
      </c>
      <c r="R3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36" s="211" t="str">
        <f>IFERROR(IF(Table1323[[#This Row],[Quantity of luminaires or lamps]]="","",IF(Table1323[[#This Row],[Controls Rebate]]="",0,Table1323[[#This Row],[Controls Rebate]])+Table1323[[#This Row],[Lighting Rebate]]),"")</f>
        <v/>
      </c>
      <c r="T3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36" s="213">
        <f>IFERROR(Table1323[[#This Row],[Rebate kW Savings]]*Table1323[[#This Row],[Annual hours from space type]],0)</f>
        <v>0</v>
      </c>
      <c r="V3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36" s="213">
        <f>Table1323[[#This Row],[Rebate kWh savings]]+Table1323[[#This Row],[Controls Rebate kWh Savings]]</f>
        <v>0</v>
      </c>
      <c r="X36" s="214" t="str">
        <f>IFERROR(IF(Table1323[[#This Row],[Quantity of luminaires or lamps]]="","",Table1323[[#This Row],[Rebate kW Savings]]),0)</f>
        <v/>
      </c>
      <c r="Y36" s="215" t="str">
        <f>IFERROR(IF(Table1323[[#This Row],[Quantity of luminaires or lamps]]="","",Table1323[[#This Row],[Total Lighting Rebate Energy Savings]]),0)</f>
        <v/>
      </c>
      <c r="Z36" s="207"/>
      <c r="AA36" s="18" t="str">
        <f>IF(Table1323[[#This Row],[Selected for Implementation]]="Yes",IF(Table1323[[#This Row],[No]]="","",(CONCATENATE("Light_"&amp;Table1323[[#This Row],[Rebate Category]]&amp;Table1323[[#This Row],[LED lamp/luminaire retrofit part '#]]))),"")</f>
        <v/>
      </c>
      <c r="AB36" s="20" t="str" cm="1">
        <f t="array" ref="AB36">IFERROR(IF(Table1323[[#This Row],[Annual hours from space type]]&gt;=Table14[],Table1323[[#This Row],[Demand Savings, kW]],0),0)</f>
        <v/>
      </c>
      <c r="AC36" s="19" t="str">
        <f>IFERROR(INDEX(Table1[BC Hydro xRM ECM],MATCH(Table1323[[#This Row],[Rebate Category]],Table1[BC Hydro Rebate Category],0)),"")</f>
        <v/>
      </c>
      <c r="AD36" s="18">
        <f>IF(Table1323[[#This Row],[Selected for Implementation]]="Yes",1,0)</f>
        <v>0</v>
      </c>
      <c r="AE36" s="18" t="e">
        <f>Table1323[[#This Row],[Implement]]*Table1323[[#This Row],[Demand Savings, kW]]</f>
        <v>#VALUE!</v>
      </c>
      <c r="AF36" s="18" t="e">
        <f>Table1323[[#This Row],[Implement]]*Table1323[[#This Row],[BCH Peak kW]]</f>
        <v>#VALUE!</v>
      </c>
      <c r="AG36" s="18">
        <f>Table1323[[#This Row],[Implement]]*Table1323[[#This Row],[Rebate kWh savings]]</f>
        <v>0</v>
      </c>
      <c r="AH36" s="18">
        <f>Table1323[[#This Row],[Implement]]*Table1323[[#This Row],[Controls Rebate kWh Savings]]</f>
        <v>0</v>
      </c>
      <c r="AI36" s="233">
        <f>Table1323[[#This Row],[Implement]]*Table1323[[#This Row],[Controls Rebate]]</f>
        <v>0</v>
      </c>
      <c r="AJ36" s="569">
        <f>IF(Table1323[[#This Row],[iControls Incentives]]&gt;0,Table1323[[#This Row],[Number of  sensors]],0)</f>
        <v>0</v>
      </c>
      <c r="AK36" s="233">
        <f>Table1323[[#This Row],[Implement]]*Table1323[[#This Row],[Lighting Rebate]]</f>
        <v>0</v>
      </c>
    </row>
    <row r="37" spans="2:37" ht="32.15" customHeight="1" x14ac:dyDescent="0.3">
      <c r="B37" s="17" t="str">
        <f>IF(Table1323[[#This Row],[Space Type]]="","","L-"&amp;ROW(31:31))</f>
        <v/>
      </c>
      <c r="C37" s="206"/>
      <c r="D37" s="207"/>
      <c r="E37" s="207"/>
      <c r="F37" s="207"/>
      <c r="G37" s="208" t="str">
        <f>IFERROR(IF(Table1323[[#This Row],[No]]="","",IF(Table1323[[#This Row],[Space Type]]="","select Space Type",INDEX(Table5[Hours],MATCH(Table1323[[#This Row],[Space Type]],Table5[Space Type],0)))),"")</f>
        <v/>
      </c>
      <c r="H37" s="207"/>
      <c r="I37" s="207"/>
      <c r="J37" s="613" t="str">
        <f>IFERROR(INDEX(Table1[Integrated Controls Capable],MATCH(Table1323[[#This Row],[Rebate Category]],Table1[BC Hydro Rebate Category],0)),"")</f>
        <v/>
      </c>
      <c r="K37" s="207"/>
      <c r="L37" s="572" t="str" cm="1">
        <f t="array" ref="L37">IFERROR(INDEX(Table1[Rebate],MATCH(Table1323[[#This Row],[Rebate Category]],Table1[BC Hydro Rebate Category],0))+IF(AND(Table1323[[#This Row],[Integrated Controls Capable]],Table1323[[#This Row],[Fixture Integrated Occupancy/Daylight Harvesting Sensors?]]="Yes"),Table6[],0),"")</f>
        <v/>
      </c>
      <c r="M37" s="574" t="str">
        <f>IFERROR(IF(AND(Table1323[[#This Row],[Integrated Controls Capable]],Table1323[[#This Row],[Fixture Integrated Occupancy/Daylight Harvesting Sensors?]]="Yes"),"per integrated luminaire", INDEX(Table1[Rebate Unit],MATCH(Table1323[[#This Row],[Rebate Category]],Table1[BC Hydro Rebate Category],0))),"")</f>
        <v/>
      </c>
      <c r="N37" s="207"/>
      <c r="O37" s="207"/>
      <c r="P37" s="206"/>
      <c r="Q37" s="209">
        <f>IFERROR(Table1323[[#This Row],[Rebate per luminaire, ($)]]*Table1323[[#This Row],[Quantity of luminaires or lamps]],0)</f>
        <v>0</v>
      </c>
      <c r="R3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37" s="211" t="str">
        <f>IFERROR(IF(Table1323[[#This Row],[Quantity of luminaires or lamps]]="","",IF(Table1323[[#This Row],[Controls Rebate]]="",0,Table1323[[#This Row],[Controls Rebate]])+Table1323[[#This Row],[Lighting Rebate]]),"")</f>
        <v/>
      </c>
      <c r="T3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37" s="213">
        <f>IFERROR(Table1323[[#This Row],[Rebate kW Savings]]*Table1323[[#This Row],[Annual hours from space type]],0)</f>
        <v>0</v>
      </c>
      <c r="V3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37" s="213">
        <f>Table1323[[#This Row],[Rebate kWh savings]]+Table1323[[#This Row],[Controls Rebate kWh Savings]]</f>
        <v>0</v>
      </c>
      <c r="X37" s="214" t="str">
        <f>IFERROR(IF(Table1323[[#This Row],[Quantity of luminaires or lamps]]="","",Table1323[[#This Row],[Rebate kW Savings]]),0)</f>
        <v/>
      </c>
      <c r="Y37" s="215" t="str">
        <f>IFERROR(IF(Table1323[[#This Row],[Quantity of luminaires or lamps]]="","",Table1323[[#This Row],[Total Lighting Rebate Energy Savings]]),0)</f>
        <v/>
      </c>
      <c r="Z37" s="207"/>
      <c r="AA37" s="18" t="str">
        <f>IF(Table1323[[#This Row],[Selected for Implementation]]="Yes",IF(Table1323[[#This Row],[No]]="","",(CONCATENATE("Light_"&amp;Table1323[[#This Row],[Rebate Category]]&amp;Table1323[[#This Row],[LED lamp/luminaire retrofit part '#]]))),"")</f>
        <v/>
      </c>
      <c r="AB37" s="20" t="str" cm="1">
        <f t="array" ref="AB37">IFERROR(IF(Table1323[[#This Row],[Annual hours from space type]]&gt;=Table14[],Table1323[[#This Row],[Demand Savings, kW]],0),0)</f>
        <v/>
      </c>
      <c r="AC37" s="19" t="str">
        <f>IFERROR(INDEX(Table1[BC Hydro xRM ECM],MATCH(Table1323[[#This Row],[Rebate Category]],Table1[BC Hydro Rebate Category],0)),"")</f>
        <v/>
      </c>
      <c r="AD37" s="18">
        <f>IF(Table1323[[#This Row],[Selected for Implementation]]="Yes",1,0)</f>
        <v>0</v>
      </c>
      <c r="AE37" s="18" t="e">
        <f>Table1323[[#This Row],[Implement]]*Table1323[[#This Row],[Demand Savings, kW]]</f>
        <v>#VALUE!</v>
      </c>
      <c r="AF37" s="18" t="e">
        <f>Table1323[[#This Row],[Implement]]*Table1323[[#This Row],[BCH Peak kW]]</f>
        <v>#VALUE!</v>
      </c>
      <c r="AG37" s="18">
        <f>Table1323[[#This Row],[Implement]]*Table1323[[#This Row],[Rebate kWh savings]]</f>
        <v>0</v>
      </c>
      <c r="AH37" s="18">
        <f>Table1323[[#This Row],[Implement]]*Table1323[[#This Row],[Controls Rebate kWh Savings]]</f>
        <v>0</v>
      </c>
      <c r="AI37" s="233">
        <f>Table1323[[#This Row],[Implement]]*Table1323[[#This Row],[Controls Rebate]]</f>
        <v>0</v>
      </c>
      <c r="AJ37" s="569">
        <f>IF(Table1323[[#This Row],[iControls Incentives]]&gt;0,Table1323[[#This Row],[Number of  sensors]],0)</f>
        <v>0</v>
      </c>
      <c r="AK37" s="233">
        <f>Table1323[[#This Row],[Implement]]*Table1323[[#This Row],[Lighting Rebate]]</f>
        <v>0</v>
      </c>
    </row>
    <row r="38" spans="2:37" ht="32.15" customHeight="1" x14ac:dyDescent="0.3">
      <c r="B38" s="17" t="str">
        <f>IF(Table1323[[#This Row],[Space Type]]="","","L-"&amp;ROW(32:32))</f>
        <v/>
      </c>
      <c r="C38" s="206"/>
      <c r="D38" s="207"/>
      <c r="E38" s="207"/>
      <c r="F38" s="207"/>
      <c r="G38" s="208" t="str">
        <f>IFERROR(IF(Table1323[[#This Row],[No]]="","",IF(Table1323[[#This Row],[Space Type]]="","select Space Type",INDEX(Table5[Hours],MATCH(Table1323[[#This Row],[Space Type]],Table5[Space Type],0)))),"")</f>
        <v/>
      </c>
      <c r="H38" s="207"/>
      <c r="I38" s="207"/>
      <c r="J38" s="613" t="str">
        <f>IFERROR(INDEX(Table1[Integrated Controls Capable],MATCH(Table1323[[#This Row],[Rebate Category]],Table1[BC Hydro Rebate Category],0)),"")</f>
        <v/>
      </c>
      <c r="K38" s="207"/>
      <c r="L38" s="572" t="str" cm="1">
        <f t="array" ref="L38">IFERROR(INDEX(Table1[Rebate],MATCH(Table1323[[#This Row],[Rebate Category]],Table1[BC Hydro Rebate Category],0))+IF(AND(Table1323[[#This Row],[Integrated Controls Capable]],Table1323[[#This Row],[Fixture Integrated Occupancy/Daylight Harvesting Sensors?]]="Yes"),Table6[],0),"")</f>
        <v/>
      </c>
      <c r="M38" s="574" t="str">
        <f>IFERROR(IF(AND(Table1323[[#This Row],[Integrated Controls Capable]],Table1323[[#This Row],[Fixture Integrated Occupancy/Daylight Harvesting Sensors?]]="Yes"),"per integrated luminaire", INDEX(Table1[Rebate Unit],MATCH(Table1323[[#This Row],[Rebate Category]],Table1[BC Hydro Rebate Category],0))),"")</f>
        <v/>
      </c>
      <c r="N38" s="207"/>
      <c r="O38" s="207"/>
      <c r="P38" s="206"/>
      <c r="Q38" s="209">
        <f>IFERROR(Table1323[[#This Row],[Rebate per luminaire, ($)]]*Table1323[[#This Row],[Quantity of luminaires or lamps]],0)</f>
        <v>0</v>
      </c>
      <c r="R3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38" s="211" t="str">
        <f>IFERROR(IF(Table1323[[#This Row],[Quantity of luminaires or lamps]]="","",IF(Table1323[[#This Row],[Controls Rebate]]="",0,Table1323[[#This Row],[Controls Rebate]])+Table1323[[#This Row],[Lighting Rebate]]),"")</f>
        <v/>
      </c>
      <c r="T3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38" s="213">
        <f>IFERROR(Table1323[[#This Row],[Rebate kW Savings]]*Table1323[[#This Row],[Annual hours from space type]],0)</f>
        <v>0</v>
      </c>
      <c r="V3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38" s="213">
        <f>Table1323[[#This Row],[Rebate kWh savings]]+Table1323[[#This Row],[Controls Rebate kWh Savings]]</f>
        <v>0</v>
      </c>
      <c r="X38" s="214" t="str">
        <f>IFERROR(IF(Table1323[[#This Row],[Quantity of luminaires or lamps]]="","",Table1323[[#This Row],[Rebate kW Savings]]),0)</f>
        <v/>
      </c>
      <c r="Y38" s="215" t="str">
        <f>IFERROR(IF(Table1323[[#This Row],[Quantity of luminaires or lamps]]="","",Table1323[[#This Row],[Total Lighting Rebate Energy Savings]]),0)</f>
        <v/>
      </c>
      <c r="Z38" s="207"/>
      <c r="AA38" s="18" t="str">
        <f>IF(Table1323[[#This Row],[Selected for Implementation]]="Yes",IF(Table1323[[#This Row],[No]]="","",(CONCATENATE("Light_"&amp;Table1323[[#This Row],[Rebate Category]]&amp;Table1323[[#This Row],[LED lamp/luminaire retrofit part '#]]))),"")</f>
        <v/>
      </c>
      <c r="AB38" s="20" t="str" cm="1">
        <f t="array" ref="AB38">IFERROR(IF(Table1323[[#This Row],[Annual hours from space type]]&gt;=Table14[],Table1323[[#This Row],[Demand Savings, kW]],0),0)</f>
        <v/>
      </c>
      <c r="AC38" s="19" t="str">
        <f>IFERROR(INDEX(Table1[BC Hydro xRM ECM],MATCH(Table1323[[#This Row],[Rebate Category]],Table1[BC Hydro Rebate Category],0)),"")</f>
        <v/>
      </c>
      <c r="AD38" s="18">
        <f>IF(Table1323[[#This Row],[Selected for Implementation]]="Yes",1,0)</f>
        <v>0</v>
      </c>
      <c r="AE38" s="18" t="e">
        <f>Table1323[[#This Row],[Implement]]*Table1323[[#This Row],[Demand Savings, kW]]</f>
        <v>#VALUE!</v>
      </c>
      <c r="AF38" s="18" t="e">
        <f>Table1323[[#This Row],[Implement]]*Table1323[[#This Row],[BCH Peak kW]]</f>
        <v>#VALUE!</v>
      </c>
      <c r="AG38" s="18">
        <f>Table1323[[#This Row],[Implement]]*Table1323[[#This Row],[Rebate kWh savings]]</f>
        <v>0</v>
      </c>
      <c r="AH38" s="18">
        <f>Table1323[[#This Row],[Implement]]*Table1323[[#This Row],[Controls Rebate kWh Savings]]</f>
        <v>0</v>
      </c>
      <c r="AI38" s="233">
        <f>Table1323[[#This Row],[Implement]]*Table1323[[#This Row],[Controls Rebate]]</f>
        <v>0</v>
      </c>
      <c r="AJ38" s="569">
        <f>IF(Table1323[[#This Row],[iControls Incentives]]&gt;0,Table1323[[#This Row],[Number of  sensors]],0)</f>
        <v>0</v>
      </c>
      <c r="AK38" s="233">
        <f>Table1323[[#This Row],[Implement]]*Table1323[[#This Row],[Lighting Rebate]]</f>
        <v>0</v>
      </c>
    </row>
    <row r="39" spans="2:37" ht="32.15" customHeight="1" x14ac:dyDescent="0.3">
      <c r="B39" s="17" t="str">
        <f>IF(Table1323[[#This Row],[Space Type]]="","","L-"&amp;ROW(33:33))</f>
        <v/>
      </c>
      <c r="C39" s="206"/>
      <c r="D39" s="207"/>
      <c r="E39" s="207"/>
      <c r="F39" s="207"/>
      <c r="G39" s="208" t="str">
        <f>IFERROR(IF(Table1323[[#This Row],[No]]="","",IF(Table1323[[#This Row],[Space Type]]="","select Space Type",INDEX(Table5[Hours],MATCH(Table1323[[#This Row],[Space Type]],Table5[Space Type],0)))),"")</f>
        <v/>
      </c>
      <c r="H39" s="207"/>
      <c r="I39" s="207"/>
      <c r="J39" s="613" t="str">
        <f>IFERROR(INDEX(Table1[Integrated Controls Capable],MATCH(Table1323[[#This Row],[Rebate Category]],Table1[BC Hydro Rebate Category],0)),"")</f>
        <v/>
      </c>
      <c r="K39" s="207"/>
      <c r="L39" s="572" t="str" cm="1">
        <f t="array" ref="L39">IFERROR(INDEX(Table1[Rebate],MATCH(Table1323[[#This Row],[Rebate Category]],Table1[BC Hydro Rebate Category],0))+IF(AND(Table1323[[#This Row],[Integrated Controls Capable]],Table1323[[#This Row],[Fixture Integrated Occupancy/Daylight Harvesting Sensors?]]="Yes"),Table6[],0),"")</f>
        <v/>
      </c>
      <c r="M39" s="574" t="str">
        <f>IFERROR(IF(AND(Table1323[[#This Row],[Integrated Controls Capable]],Table1323[[#This Row],[Fixture Integrated Occupancy/Daylight Harvesting Sensors?]]="Yes"),"per integrated luminaire", INDEX(Table1[Rebate Unit],MATCH(Table1323[[#This Row],[Rebate Category]],Table1[BC Hydro Rebate Category],0))),"")</f>
        <v/>
      </c>
      <c r="N39" s="207"/>
      <c r="O39" s="207"/>
      <c r="P39" s="206"/>
      <c r="Q39" s="209">
        <f>IFERROR(Table1323[[#This Row],[Rebate per luminaire, ($)]]*Table1323[[#This Row],[Quantity of luminaires or lamps]],0)</f>
        <v>0</v>
      </c>
      <c r="R3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39" s="211" t="str">
        <f>IFERROR(IF(Table1323[[#This Row],[Quantity of luminaires or lamps]]="","",IF(Table1323[[#This Row],[Controls Rebate]]="",0,Table1323[[#This Row],[Controls Rebate]])+Table1323[[#This Row],[Lighting Rebate]]),"")</f>
        <v/>
      </c>
      <c r="T3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39" s="213">
        <f>IFERROR(Table1323[[#This Row],[Rebate kW Savings]]*Table1323[[#This Row],[Annual hours from space type]],0)</f>
        <v>0</v>
      </c>
      <c r="V3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39" s="213">
        <f>Table1323[[#This Row],[Rebate kWh savings]]+Table1323[[#This Row],[Controls Rebate kWh Savings]]</f>
        <v>0</v>
      </c>
      <c r="X39" s="214" t="str">
        <f>IFERROR(IF(Table1323[[#This Row],[Quantity of luminaires or lamps]]="","",Table1323[[#This Row],[Rebate kW Savings]]),0)</f>
        <v/>
      </c>
      <c r="Y39" s="215" t="str">
        <f>IFERROR(IF(Table1323[[#This Row],[Quantity of luminaires or lamps]]="","",Table1323[[#This Row],[Total Lighting Rebate Energy Savings]]),0)</f>
        <v/>
      </c>
      <c r="Z39" s="207"/>
      <c r="AA39" s="18" t="str">
        <f>IF(Table1323[[#This Row],[Selected for Implementation]]="Yes",IF(Table1323[[#This Row],[No]]="","",(CONCATENATE("Light_"&amp;Table1323[[#This Row],[Rebate Category]]&amp;Table1323[[#This Row],[LED lamp/luminaire retrofit part '#]]))),"")</f>
        <v/>
      </c>
      <c r="AB39" s="20" t="str" cm="1">
        <f t="array" ref="AB39">IFERROR(IF(Table1323[[#This Row],[Annual hours from space type]]&gt;=Table14[],Table1323[[#This Row],[Demand Savings, kW]],0),0)</f>
        <v/>
      </c>
      <c r="AC39" s="19" t="str">
        <f>IFERROR(INDEX(Table1[BC Hydro xRM ECM],MATCH(Table1323[[#This Row],[Rebate Category]],Table1[BC Hydro Rebate Category],0)),"")</f>
        <v/>
      </c>
      <c r="AD39" s="18">
        <f>IF(Table1323[[#This Row],[Selected for Implementation]]="Yes",1,0)</f>
        <v>0</v>
      </c>
      <c r="AE39" s="18" t="e">
        <f>Table1323[[#This Row],[Implement]]*Table1323[[#This Row],[Demand Savings, kW]]</f>
        <v>#VALUE!</v>
      </c>
      <c r="AF39" s="18" t="e">
        <f>Table1323[[#This Row],[Implement]]*Table1323[[#This Row],[BCH Peak kW]]</f>
        <v>#VALUE!</v>
      </c>
      <c r="AG39" s="18">
        <f>Table1323[[#This Row],[Implement]]*Table1323[[#This Row],[Rebate kWh savings]]</f>
        <v>0</v>
      </c>
      <c r="AH39" s="18">
        <f>Table1323[[#This Row],[Implement]]*Table1323[[#This Row],[Controls Rebate kWh Savings]]</f>
        <v>0</v>
      </c>
      <c r="AI39" s="233">
        <f>Table1323[[#This Row],[Implement]]*Table1323[[#This Row],[Controls Rebate]]</f>
        <v>0</v>
      </c>
      <c r="AJ39" s="569">
        <f>IF(Table1323[[#This Row],[iControls Incentives]]&gt;0,Table1323[[#This Row],[Number of  sensors]],0)</f>
        <v>0</v>
      </c>
      <c r="AK39" s="233">
        <f>Table1323[[#This Row],[Implement]]*Table1323[[#This Row],[Lighting Rebate]]</f>
        <v>0</v>
      </c>
    </row>
    <row r="40" spans="2:37" ht="32.15" customHeight="1" x14ac:dyDescent="0.3">
      <c r="B40" s="17" t="str">
        <f>IF(Table1323[[#This Row],[Space Type]]="","","L-"&amp;ROW(34:34))</f>
        <v/>
      </c>
      <c r="C40" s="206"/>
      <c r="D40" s="207"/>
      <c r="E40" s="207"/>
      <c r="F40" s="207"/>
      <c r="G40" s="208" t="str">
        <f>IFERROR(IF(Table1323[[#This Row],[No]]="","",IF(Table1323[[#This Row],[Space Type]]="","select Space Type",INDEX(Table5[Hours],MATCH(Table1323[[#This Row],[Space Type]],Table5[Space Type],0)))),"")</f>
        <v/>
      </c>
      <c r="H40" s="207"/>
      <c r="I40" s="207"/>
      <c r="J40" s="613" t="str">
        <f>IFERROR(INDEX(Table1[Integrated Controls Capable],MATCH(Table1323[[#This Row],[Rebate Category]],Table1[BC Hydro Rebate Category],0)),"")</f>
        <v/>
      </c>
      <c r="K40" s="207"/>
      <c r="L40" s="572" t="str" cm="1">
        <f t="array" ref="L40">IFERROR(INDEX(Table1[Rebate],MATCH(Table1323[[#This Row],[Rebate Category]],Table1[BC Hydro Rebate Category],0))+IF(AND(Table1323[[#This Row],[Integrated Controls Capable]],Table1323[[#This Row],[Fixture Integrated Occupancy/Daylight Harvesting Sensors?]]="Yes"),Table6[],0),"")</f>
        <v/>
      </c>
      <c r="M40" s="574" t="str">
        <f>IFERROR(IF(AND(Table1323[[#This Row],[Integrated Controls Capable]],Table1323[[#This Row],[Fixture Integrated Occupancy/Daylight Harvesting Sensors?]]="Yes"),"per integrated luminaire", INDEX(Table1[Rebate Unit],MATCH(Table1323[[#This Row],[Rebate Category]],Table1[BC Hydro Rebate Category],0))),"")</f>
        <v/>
      </c>
      <c r="N40" s="207"/>
      <c r="O40" s="207"/>
      <c r="P40" s="206"/>
      <c r="Q40" s="209">
        <f>IFERROR(Table1323[[#This Row],[Rebate per luminaire, ($)]]*Table1323[[#This Row],[Quantity of luminaires or lamps]],0)</f>
        <v>0</v>
      </c>
      <c r="R4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40" s="211" t="str">
        <f>IFERROR(IF(Table1323[[#This Row],[Quantity of luminaires or lamps]]="","",IF(Table1323[[#This Row],[Controls Rebate]]="",0,Table1323[[#This Row],[Controls Rebate]])+Table1323[[#This Row],[Lighting Rebate]]),"")</f>
        <v/>
      </c>
      <c r="T4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40" s="213">
        <f>IFERROR(Table1323[[#This Row],[Rebate kW Savings]]*Table1323[[#This Row],[Annual hours from space type]],0)</f>
        <v>0</v>
      </c>
      <c r="V4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40" s="213">
        <f>Table1323[[#This Row],[Rebate kWh savings]]+Table1323[[#This Row],[Controls Rebate kWh Savings]]</f>
        <v>0</v>
      </c>
      <c r="X40" s="214" t="str">
        <f>IFERROR(IF(Table1323[[#This Row],[Quantity of luminaires or lamps]]="","",Table1323[[#This Row],[Rebate kW Savings]]),0)</f>
        <v/>
      </c>
      <c r="Y40" s="215" t="str">
        <f>IFERROR(IF(Table1323[[#This Row],[Quantity of luminaires or lamps]]="","",Table1323[[#This Row],[Total Lighting Rebate Energy Savings]]),0)</f>
        <v/>
      </c>
      <c r="Z40" s="207"/>
      <c r="AA40" s="18" t="str">
        <f>IF(Table1323[[#This Row],[Selected for Implementation]]="Yes",IF(Table1323[[#This Row],[No]]="","",(CONCATENATE("Light_"&amp;Table1323[[#This Row],[Rebate Category]]&amp;Table1323[[#This Row],[LED lamp/luminaire retrofit part '#]]))),"")</f>
        <v/>
      </c>
      <c r="AB40" s="20" t="str" cm="1">
        <f t="array" ref="AB40">IFERROR(IF(Table1323[[#This Row],[Annual hours from space type]]&gt;=Table14[],Table1323[[#This Row],[Demand Savings, kW]],0),0)</f>
        <v/>
      </c>
      <c r="AC40" s="19" t="str">
        <f>IFERROR(INDEX(Table1[BC Hydro xRM ECM],MATCH(Table1323[[#This Row],[Rebate Category]],Table1[BC Hydro Rebate Category],0)),"")</f>
        <v/>
      </c>
      <c r="AD40" s="18">
        <f>IF(Table1323[[#This Row],[Selected for Implementation]]="Yes",1,0)</f>
        <v>0</v>
      </c>
      <c r="AE40" s="18" t="e">
        <f>Table1323[[#This Row],[Implement]]*Table1323[[#This Row],[Demand Savings, kW]]</f>
        <v>#VALUE!</v>
      </c>
      <c r="AF40" s="18" t="e">
        <f>Table1323[[#This Row],[Implement]]*Table1323[[#This Row],[BCH Peak kW]]</f>
        <v>#VALUE!</v>
      </c>
      <c r="AG40" s="18">
        <f>Table1323[[#This Row],[Implement]]*Table1323[[#This Row],[Rebate kWh savings]]</f>
        <v>0</v>
      </c>
      <c r="AH40" s="18">
        <f>Table1323[[#This Row],[Implement]]*Table1323[[#This Row],[Controls Rebate kWh Savings]]</f>
        <v>0</v>
      </c>
      <c r="AI40" s="233">
        <f>Table1323[[#This Row],[Implement]]*Table1323[[#This Row],[Controls Rebate]]</f>
        <v>0</v>
      </c>
      <c r="AJ40" s="569">
        <f>IF(Table1323[[#This Row],[iControls Incentives]]&gt;0,Table1323[[#This Row],[Number of  sensors]],0)</f>
        <v>0</v>
      </c>
      <c r="AK40" s="233">
        <f>Table1323[[#This Row],[Implement]]*Table1323[[#This Row],[Lighting Rebate]]</f>
        <v>0</v>
      </c>
    </row>
    <row r="41" spans="2:37" ht="32.15" customHeight="1" x14ac:dyDescent="0.3">
      <c r="B41" s="17" t="str">
        <f>IF(Table1323[[#This Row],[Space Type]]="","","L-"&amp;ROW(35:35))</f>
        <v/>
      </c>
      <c r="C41" s="206"/>
      <c r="D41" s="207"/>
      <c r="E41" s="207"/>
      <c r="F41" s="207"/>
      <c r="G41" s="208" t="str">
        <f>IFERROR(IF(Table1323[[#This Row],[No]]="","",IF(Table1323[[#This Row],[Space Type]]="","select Space Type",INDEX(Table5[Hours],MATCH(Table1323[[#This Row],[Space Type]],Table5[Space Type],0)))),"")</f>
        <v/>
      </c>
      <c r="H41" s="207"/>
      <c r="I41" s="207"/>
      <c r="J41" s="613" t="str">
        <f>IFERROR(INDEX(Table1[Integrated Controls Capable],MATCH(Table1323[[#This Row],[Rebate Category]],Table1[BC Hydro Rebate Category],0)),"")</f>
        <v/>
      </c>
      <c r="K41" s="207"/>
      <c r="L41" s="572" t="str" cm="1">
        <f t="array" ref="L41">IFERROR(INDEX(Table1[Rebate],MATCH(Table1323[[#This Row],[Rebate Category]],Table1[BC Hydro Rebate Category],0))+IF(AND(Table1323[[#This Row],[Integrated Controls Capable]],Table1323[[#This Row],[Fixture Integrated Occupancy/Daylight Harvesting Sensors?]]="Yes"),Table6[],0),"")</f>
        <v/>
      </c>
      <c r="M41" s="574" t="str">
        <f>IFERROR(IF(AND(Table1323[[#This Row],[Integrated Controls Capable]],Table1323[[#This Row],[Fixture Integrated Occupancy/Daylight Harvesting Sensors?]]="Yes"),"per integrated luminaire", INDEX(Table1[Rebate Unit],MATCH(Table1323[[#This Row],[Rebate Category]],Table1[BC Hydro Rebate Category],0))),"")</f>
        <v/>
      </c>
      <c r="N41" s="207"/>
      <c r="O41" s="207"/>
      <c r="P41" s="206"/>
      <c r="Q41" s="209">
        <f>IFERROR(Table1323[[#This Row],[Rebate per luminaire, ($)]]*Table1323[[#This Row],[Quantity of luminaires or lamps]],0)</f>
        <v>0</v>
      </c>
      <c r="R4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41" s="211" t="str">
        <f>IFERROR(IF(Table1323[[#This Row],[Quantity of luminaires or lamps]]="","",IF(Table1323[[#This Row],[Controls Rebate]]="",0,Table1323[[#This Row],[Controls Rebate]])+Table1323[[#This Row],[Lighting Rebate]]),"")</f>
        <v/>
      </c>
      <c r="T4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41" s="213">
        <f>IFERROR(Table1323[[#This Row],[Rebate kW Savings]]*Table1323[[#This Row],[Annual hours from space type]],0)</f>
        <v>0</v>
      </c>
      <c r="V4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41" s="213">
        <f>Table1323[[#This Row],[Rebate kWh savings]]+Table1323[[#This Row],[Controls Rebate kWh Savings]]</f>
        <v>0</v>
      </c>
      <c r="X41" s="214" t="str">
        <f>IFERROR(IF(Table1323[[#This Row],[Quantity of luminaires or lamps]]="","",Table1323[[#This Row],[Rebate kW Savings]]),0)</f>
        <v/>
      </c>
      <c r="Y41" s="215" t="str">
        <f>IFERROR(IF(Table1323[[#This Row],[Quantity of luminaires or lamps]]="","",Table1323[[#This Row],[Total Lighting Rebate Energy Savings]]),0)</f>
        <v/>
      </c>
      <c r="Z41" s="207"/>
      <c r="AA41" s="18" t="str">
        <f>IF(Table1323[[#This Row],[Selected for Implementation]]="Yes",IF(Table1323[[#This Row],[No]]="","",(CONCATENATE("Light_"&amp;Table1323[[#This Row],[Rebate Category]]&amp;Table1323[[#This Row],[LED lamp/luminaire retrofit part '#]]))),"")</f>
        <v/>
      </c>
      <c r="AB41" s="20" t="str" cm="1">
        <f t="array" ref="AB41">IFERROR(IF(Table1323[[#This Row],[Annual hours from space type]]&gt;=Table14[],Table1323[[#This Row],[Demand Savings, kW]],0),0)</f>
        <v/>
      </c>
      <c r="AC41" s="19" t="str">
        <f>IFERROR(INDEX(Table1[BC Hydro xRM ECM],MATCH(Table1323[[#This Row],[Rebate Category]],Table1[BC Hydro Rebate Category],0)),"")</f>
        <v/>
      </c>
      <c r="AD41" s="18">
        <f>IF(Table1323[[#This Row],[Selected for Implementation]]="Yes",1,0)</f>
        <v>0</v>
      </c>
      <c r="AE41" s="18" t="e">
        <f>Table1323[[#This Row],[Implement]]*Table1323[[#This Row],[Demand Savings, kW]]</f>
        <v>#VALUE!</v>
      </c>
      <c r="AF41" s="18" t="e">
        <f>Table1323[[#This Row],[Implement]]*Table1323[[#This Row],[BCH Peak kW]]</f>
        <v>#VALUE!</v>
      </c>
      <c r="AG41" s="18">
        <f>Table1323[[#This Row],[Implement]]*Table1323[[#This Row],[Rebate kWh savings]]</f>
        <v>0</v>
      </c>
      <c r="AH41" s="18">
        <f>Table1323[[#This Row],[Implement]]*Table1323[[#This Row],[Controls Rebate kWh Savings]]</f>
        <v>0</v>
      </c>
      <c r="AI41" s="233">
        <f>Table1323[[#This Row],[Implement]]*Table1323[[#This Row],[Controls Rebate]]</f>
        <v>0</v>
      </c>
      <c r="AJ41" s="569">
        <f>IF(Table1323[[#This Row],[iControls Incentives]]&gt;0,Table1323[[#This Row],[Number of  sensors]],0)</f>
        <v>0</v>
      </c>
      <c r="AK41" s="233">
        <f>Table1323[[#This Row],[Implement]]*Table1323[[#This Row],[Lighting Rebate]]</f>
        <v>0</v>
      </c>
    </row>
    <row r="42" spans="2:37" ht="32.15" customHeight="1" x14ac:dyDescent="0.3">
      <c r="B42" s="17" t="str">
        <f>IF(Table1323[[#This Row],[Space Type]]="","","L-"&amp;ROW(36:36))</f>
        <v/>
      </c>
      <c r="C42" s="206"/>
      <c r="D42" s="207"/>
      <c r="E42" s="207"/>
      <c r="F42" s="207"/>
      <c r="G42" s="208" t="str">
        <f>IFERROR(IF(Table1323[[#This Row],[No]]="","",IF(Table1323[[#This Row],[Space Type]]="","select Space Type",INDEX(Table5[Hours],MATCH(Table1323[[#This Row],[Space Type]],Table5[Space Type],0)))),"")</f>
        <v/>
      </c>
      <c r="H42" s="207"/>
      <c r="I42" s="207"/>
      <c r="J42" s="613" t="str">
        <f>IFERROR(INDEX(Table1[Integrated Controls Capable],MATCH(Table1323[[#This Row],[Rebate Category]],Table1[BC Hydro Rebate Category],0)),"")</f>
        <v/>
      </c>
      <c r="K42" s="207"/>
      <c r="L42" s="572" t="str" cm="1">
        <f t="array" ref="L42">IFERROR(INDEX(Table1[Rebate],MATCH(Table1323[[#This Row],[Rebate Category]],Table1[BC Hydro Rebate Category],0))+IF(AND(Table1323[[#This Row],[Integrated Controls Capable]],Table1323[[#This Row],[Fixture Integrated Occupancy/Daylight Harvesting Sensors?]]="Yes"),Table6[],0),"")</f>
        <v/>
      </c>
      <c r="M42" s="574" t="str">
        <f>IFERROR(IF(AND(Table1323[[#This Row],[Integrated Controls Capable]],Table1323[[#This Row],[Fixture Integrated Occupancy/Daylight Harvesting Sensors?]]="Yes"),"per integrated luminaire", INDEX(Table1[Rebate Unit],MATCH(Table1323[[#This Row],[Rebate Category]],Table1[BC Hydro Rebate Category],0))),"")</f>
        <v/>
      </c>
      <c r="N42" s="207"/>
      <c r="O42" s="207"/>
      <c r="P42" s="206"/>
      <c r="Q42" s="209">
        <f>IFERROR(Table1323[[#This Row],[Rebate per luminaire, ($)]]*Table1323[[#This Row],[Quantity of luminaires or lamps]],0)</f>
        <v>0</v>
      </c>
      <c r="R4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42" s="211" t="str">
        <f>IFERROR(IF(Table1323[[#This Row],[Quantity of luminaires or lamps]]="","",IF(Table1323[[#This Row],[Controls Rebate]]="",0,Table1323[[#This Row],[Controls Rebate]])+Table1323[[#This Row],[Lighting Rebate]]),"")</f>
        <v/>
      </c>
      <c r="T4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42" s="213">
        <f>IFERROR(Table1323[[#This Row],[Rebate kW Savings]]*Table1323[[#This Row],[Annual hours from space type]],0)</f>
        <v>0</v>
      </c>
      <c r="V4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42" s="213">
        <f>Table1323[[#This Row],[Rebate kWh savings]]+Table1323[[#This Row],[Controls Rebate kWh Savings]]</f>
        <v>0</v>
      </c>
      <c r="X42" s="214" t="str">
        <f>IFERROR(IF(Table1323[[#This Row],[Quantity of luminaires or lamps]]="","",Table1323[[#This Row],[Rebate kW Savings]]),0)</f>
        <v/>
      </c>
      <c r="Y42" s="215" t="str">
        <f>IFERROR(IF(Table1323[[#This Row],[Quantity of luminaires or lamps]]="","",Table1323[[#This Row],[Total Lighting Rebate Energy Savings]]),0)</f>
        <v/>
      </c>
      <c r="Z42" s="207"/>
      <c r="AA42" s="18" t="str">
        <f>IF(Table1323[[#This Row],[Selected for Implementation]]="Yes",IF(Table1323[[#This Row],[No]]="","",(CONCATENATE("Light_"&amp;Table1323[[#This Row],[Rebate Category]]&amp;Table1323[[#This Row],[LED lamp/luminaire retrofit part '#]]))),"")</f>
        <v/>
      </c>
      <c r="AB42" s="20" t="str" cm="1">
        <f t="array" ref="AB42">IFERROR(IF(Table1323[[#This Row],[Annual hours from space type]]&gt;=Table14[],Table1323[[#This Row],[Demand Savings, kW]],0),0)</f>
        <v/>
      </c>
      <c r="AC42" s="19" t="str">
        <f>IFERROR(INDEX(Table1[BC Hydro xRM ECM],MATCH(Table1323[[#This Row],[Rebate Category]],Table1[BC Hydro Rebate Category],0)),"")</f>
        <v/>
      </c>
      <c r="AD42" s="18">
        <f>IF(Table1323[[#This Row],[Selected for Implementation]]="Yes",1,0)</f>
        <v>0</v>
      </c>
      <c r="AE42" s="18" t="e">
        <f>Table1323[[#This Row],[Implement]]*Table1323[[#This Row],[Demand Savings, kW]]</f>
        <v>#VALUE!</v>
      </c>
      <c r="AF42" s="18" t="e">
        <f>Table1323[[#This Row],[Implement]]*Table1323[[#This Row],[BCH Peak kW]]</f>
        <v>#VALUE!</v>
      </c>
      <c r="AG42" s="18">
        <f>Table1323[[#This Row],[Implement]]*Table1323[[#This Row],[Rebate kWh savings]]</f>
        <v>0</v>
      </c>
      <c r="AH42" s="18">
        <f>Table1323[[#This Row],[Implement]]*Table1323[[#This Row],[Controls Rebate kWh Savings]]</f>
        <v>0</v>
      </c>
      <c r="AI42" s="233">
        <f>Table1323[[#This Row],[Implement]]*Table1323[[#This Row],[Controls Rebate]]</f>
        <v>0</v>
      </c>
      <c r="AJ42" s="569">
        <f>IF(Table1323[[#This Row],[iControls Incentives]]&gt;0,Table1323[[#This Row],[Number of  sensors]],0)</f>
        <v>0</v>
      </c>
      <c r="AK42" s="233">
        <f>Table1323[[#This Row],[Implement]]*Table1323[[#This Row],[Lighting Rebate]]</f>
        <v>0</v>
      </c>
    </row>
    <row r="43" spans="2:37" ht="32.15" customHeight="1" x14ac:dyDescent="0.3">
      <c r="B43" s="17" t="str">
        <f>IF(Table1323[[#This Row],[Space Type]]="","","L-"&amp;ROW(37:37))</f>
        <v/>
      </c>
      <c r="C43" s="206"/>
      <c r="D43" s="207"/>
      <c r="E43" s="207"/>
      <c r="F43" s="207"/>
      <c r="G43" s="208" t="str">
        <f>IFERROR(IF(Table1323[[#This Row],[No]]="","",IF(Table1323[[#This Row],[Space Type]]="","select Space Type",INDEX(Table5[Hours],MATCH(Table1323[[#This Row],[Space Type]],Table5[Space Type],0)))),"")</f>
        <v/>
      </c>
      <c r="H43" s="207"/>
      <c r="I43" s="207"/>
      <c r="J43" s="613" t="str">
        <f>IFERROR(INDEX(Table1[Integrated Controls Capable],MATCH(Table1323[[#This Row],[Rebate Category]],Table1[BC Hydro Rebate Category],0)),"")</f>
        <v/>
      </c>
      <c r="K43" s="207"/>
      <c r="L43" s="572" t="str" cm="1">
        <f t="array" ref="L43">IFERROR(INDEX(Table1[Rebate],MATCH(Table1323[[#This Row],[Rebate Category]],Table1[BC Hydro Rebate Category],0))+IF(AND(Table1323[[#This Row],[Integrated Controls Capable]],Table1323[[#This Row],[Fixture Integrated Occupancy/Daylight Harvesting Sensors?]]="Yes"),Table6[],0),"")</f>
        <v/>
      </c>
      <c r="M43" s="574" t="str">
        <f>IFERROR(IF(AND(Table1323[[#This Row],[Integrated Controls Capable]],Table1323[[#This Row],[Fixture Integrated Occupancy/Daylight Harvesting Sensors?]]="Yes"),"per integrated luminaire", INDEX(Table1[Rebate Unit],MATCH(Table1323[[#This Row],[Rebate Category]],Table1[BC Hydro Rebate Category],0))),"")</f>
        <v/>
      </c>
      <c r="N43" s="207"/>
      <c r="O43" s="207"/>
      <c r="P43" s="206"/>
      <c r="Q43" s="209">
        <f>IFERROR(Table1323[[#This Row],[Rebate per luminaire, ($)]]*Table1323[[#This Row],[Quantity of luminaires or lamps]],0)</f>
        <v>0</v>
      </c>
      <c r="R4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43" s="211" t="str">
        <f>IFERROR(IF(Table1323[[#This Row],[Quantity of luminaires or lamps]]="","",IF(Table1323[[#This Row],[Controls Rebate]]="",0,Table1323[[#This Row],[Controls Rebate]])+Table1323[[#This Row],[Lighting Rebate]]),"")</f>
        <v/>
      </c>
      <c r="T4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43" s="213">
        <f>IFERROR(Table1323[[#This Row],[Rebate kW Savings]]*Table1323[[#This Row],[Annual hours from space type]],0)</f>
        <v>0</v>
      </c>
      <c r="V4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43" s="213">
        <f>Table1323[[#This Row],[Rebate kWh savings]]+Table1323[[#This Row],[Controls Rebate kWh Savings]]</f>
        <v>0</v>
      </c>
      <c r="X43" s="214" t="str">
        <f>IFERROR(IF(Table1323[[#This Row],[Quantity of luminaires or lamps]]="","",Table1323[[#This Row],[Rebate kW Savings]]),0)</f>
        <v/>
      </c>
      <c r="Y43" s="215" t="str">
        <f>IFERROR(IF(Table1323[[#This Row],[Quantity of luminaires or lamps]]="","",Table1323[[#This Row],[Total Lighting Rebate Energy Savings]]),0)</f>
        <v/>
      </c>
      <c r="Z43" s="207"/>
      <c r="AA43" s="18" t="str">
        <f>IF(Table1323[[#This Row],[Selected for Implementation]]="Yes",IF(Table1323[[#This Row],[No]]="","",(CONCATENATE("Light_"&amp;Table1323[[#This Row],[Rebate Category]]&amp;Table1323[[#This Row],[LED lamp/luminaire retrofit part '#]]))),"")</f>
        <v/>
      </c>
      <c r="AB43" s="20" t="str" cm="1">
        <f t="array" ref="AB43">IFERROR(IF(Table1323[[#This Row],[Annual hours from space type]]&gt;=Table14[],Table1323[[#This Row],[Demand Savings, kW]],0),0)</f>
        <v/>
      </c>
      <c r="AC43" s="19" t="str">
        <f>IFERROR(INDEX(Table1[BC Hydro xRM ECM],MATCH(Table1323[[#This Row],[Rebate Category]],Table1[BC Hydro Rebate Category],0)),"")</f>
        <v/>
      </c>
      <c r="AD43" s="18">
        <f>IF(Table1323[[#This Row],[Selected for Implementation]]="Yes",1,0)</f>
        <v>0</v>
      </c>
      <c r="AE43" s="18" t="e">
        <f>Table1323[[#This Row],[Implement]]*Table1323[[#This Row],[Demand Savings, kW]]</f>
        <v>#VALUE!</v>
      </c>
      <c r="AF43" s="18" t="e">
        <f>Table1323[[#This Row],[Implement]]*Table1323[[#This Row],[BCH Peak kW]]</f>
        <v>#VALUE!</v>
      </c>
      <c r="AG43" s="18">
        <f>Table1323[[#This Row],[Implement]]*Table1323[[#This Row],[Rebate kWh savings]]</f>
        <v>0</v>
      </c>
      <c r="AH43" s="18">
        <f>Table1323[[#This Row],[Implement]]*Table1323[[#This Row],[Controls Rebate kWh Savings]]</f>
        <v>0</v>
      </c>
      <c r="AI43" s="233">
        <f>Table1323[[#This Row],[Implement]]*Table1323[[#This Row],[Controls Rebate]]</f>
        <v>0</v>
      </c>
      <c r="AJ43" s="569">
        <f>IF(Table1323[[#This Row],[iControls Incentives]]&gt;0,Table1323[[#This Row],[Number of  sensors]],0)</f>
        <v>0</v>
      </c>
      <c r="AK43" s="233">
        <f>Table1323[[#This Row],[Implement]]*Table1323[[#This Row],[Lighting Rebate]]</f>
        <v>0</v>
      </c>
    </row>
    <row r="44" spans="2:37" ht="32.15" customHeight="1" x14ac:dyDescent="0.3">
      <c r="B44" s="17" t="str">
        <f>IF(Table1323[[#This Row],[Space Type]]="","","L-"&amp;ROW(38:38))</f>
        <v/>
      </c>
      <c r="C44" s="206"/>
      <c r="D44" s="207"/>
      <c r="E44" s="207"/>
      <c r="F44" s="207"/>
      <c r="G44" s="208" t="str">
        <f>IFERROR(IF(Table1323[[#This Row],[No]]="","",IF(Table1323[[#This Row],[Space Type]]="","select Space Type",INDEX(Table5[Hours],MATCH(Table1323[[#This Row],[Space Type]],Table5[Space Type],0)))),"")</f>
        <v/>
      </c>
      <c r="H44" s="207"/>
      <c r="I44" s="207"/>
      <c r="J44" s="613" t="str">
        <f>IFERROR(INDEX(Table1[Integrated Controls Capable],MATCH(Table1323[[#This Row],[Rebate Category]],Table1[BC Hydro Rebate Category],0)),"")</f>
        <v/>
      </c>
      <c r="K44" s="207"/>
      <c r="L44" s="572" t="str" cm="1">
        <f t="array" ref="L44">IFERROR(INDEX(Table1[Rebate],MATCH(Table1323[[#This Row],[Rebate Category]],Table1[BC Hydro Rebate Category],0))+IF(AND(Table1323[[#This Row],[Integrated Controls Capable]],Table1323[[#This Row],[Fixture Integrated Occupancy/Daylight Harvesting Sensors?]]="Yes"),Table6[],0),"")</f>
        <v/>
      </c>
      <c r="M44" s="574" t="str">
        <f>IFERROR(IF(AND(Table1323[[#This Row],[Integrated Controls Capable]],Table1323[[#This Row],[Fixture Integrated Occupancy/Daylight Harvesting Sensors?]]="Yes"),"per integrated luminaire", INDEX(Table1[Rebate Unit],MATCH(Table1323[[#This Row],[Rebate Category]],Table1[BC Hydro Rebate Category],0))),"")</f>
        <v/>
      </c>
      <c r="N44" s="207"/>
      <c r="O44" s="207"/>
      <c r="P44" s="206"/>
      <c r="Q44" s="209">
        <f>IFERROR(Table1323[[#This Row],[Rebate per luminaire, ($)]]*Table1323[[#This Row],[Quantity of luminaires or lamps]],0)</f>
        <v>0</v>
      </c>
      <c r="R4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44" s="211" t="str">
        <f>IFERROR(IF(Table1323[[#This Row],[Quantity of luminaires or lamps]]="","",IF(Table1323[[#This Row],[Controls Rebate]]="",0,Table1323[[#This Row],[Controls Rebate]])+Table1323[[#This Row],[Lighting Rebate]]),"")</f>
        <v/>
      </c>
      <c r="T4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44" s="213">
        <f>IFERROR(Table1323[[#This Row],[Rebate kW Savings]]*Table1323[[#This Row],[Annual hours from space type]],0)</f>
        <v>0</v>
      </c>
      <c r="V4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44" s="213">
        <f>Table1323[[#This Row],[Rebate kWh savings]]+Table1323[[#This Row],[Controls Rebate kWh Savings]]</f>
        <v>0</v>
      </c>
      <c r="X44" s="214" t="str">
        <f>IFERROR(IF(Table1323[[#This Row],[Quantity of luminaires or lamps]]="","",Table1323[[#This Row],[Rebate kW Savings]]),0)</f>
        <v/>
      </c>
      <c r="Y44" s="215" t="str">
        <f>IFERROR(IF(Table1323[[#This Row],[Quantity of luminaires or lamps]]="","",Table1323[[#This Row],[Total Lighting Rebate Energy Savings]]),0)</f>
        <v/>
      </c>
      <c r="Z44" s="207"/>
      <c r="AA44" s="18" t="str">
        <f>IF(Table1323[[#This Row],[Selected for Implementation]]="Yes",IF(Table1323[[#This Row],[No]]="","",(CONCATENATE("Light_"&amp;Table1323[[#This Row],[Rebate Category]]&amp;Table1323[[#This Row],[LED lamp/luminaire retrofit part '#]]))),"")</f>
        <v/>
      </c>
      <c r="AB44" s="20" t="str" cm="1">
        <f t="array" ref="AB44">IFERROR(IF(Table1323[[#This Row],[Annual hours from space type]]&gt;=Table14[],Table1323[[#This Row],[Demand Savings, kW]],0),0)</f>
        <v/>
      </c>
      <c r="AC44" s="19" t="str">
        <f>IFERROR(INDEX(Table1[BC Hydro xRM ECM],MATCH(Table1323[[#This Row],[Rebate Category]],Table1[BC Hydro Rebate Category],0)),"")</f>
        <v/>
      </c>
      <c r="AD44" s="18">
        <f>IF(Table1323[[#This Row],[Selected for Implementation]]="Yes",1,0)</f>
        <v>0</v>
      </c>
      <c r="AE44" s="18" t="e">
        <f>Table1323[[#This Row],[Implement]]*Table1323[[#This Row],[Demand Savings, kW]]</f>
        <v>#VALUE!</v>
      </c>
      <c r="AF44" s="18" t="e">
        <f>Table1323[[#This Row],[Implement]]*Table1323[[#This Row],[BCH Peak kW]]</f>
        <v>#VALUE!</v>
      </c>
      <c r="AG44" s="18">
        <f>Table1323[[#This Row],[Implement]]*Table1323[[#This Row],[Rebate kWh savings]]</f>
        <v>0</v>
      </c>
      <c r="AH44" s="18">
        <f>Table1323[[#This Row],[Implement]]*Table1323[[#This Row],[Controls Rebate kWh Savings]]</f>
        <v>0</v>
      </c>
      <c r="AI44" s="233">
        <f>Table1323[[#This Row],[Implement]]*Table1323[[#This Row],[Controls Rebate]]</f>
        <v>0</v>
      </c>
      <c r="AJ44" s="569">
        <f>IF(Table1323[[#This Row],[iControls Incentives]]&gt;0,Table1323[[#This Row],[Number of  sensors]],0)</f>
        <v>0</v>
      </c>
      <c r="AK44" s="233">
        <f>Table1323[[#This Row],[Implement]]*Table1323[[#This Row],[Lighting Rebate]]</f>
        <v>0</v>
      </c>
    </row>
    <row r="45" spans="2:37" ht="32.15" customHeight="1" x14ac:dyDescent="0.3">
      <c r="B45" s="17" t="str">
        <f>IF(Table1323[[#This Row],[Space Type]]="","","L-"&amp;ROW(39:39))</f>
        <v/>
      </c>
      <c r="C45" s="206"/>
      <c r="D45" s="207"/>
      <c r="E45" s="207"/>
      <c r="F45" s="207"/>
      <c r="G45" s="208" t="str">
        <f>IFERROR(IF(Table1323[[#This Row],[No]]="","",IF(Table1323[[#This Row],[Space Type]]="","select Space Type",INDEX(Table5[Hours],MATCH(Table1323[[#This Row],[Space Type]],Table5[Space Type],0)))),"")</f>
        <v/>
      </c>
      <c r="H45" s="207"/>
      <c r="I45" s="207"/>
      <c r="J45" s="613" t="str">
        <f>IFERROR(INDEX(Table1[Integrated Controls Capable],MATCH(Table1323[[#This Row],[Rebate Category]],Table1[BC Hydro Rebate Category],0)),"")</f>
        <v/>
      </c>
      <c r="K45" s="207"/>
      <c r="L45" s="572" t="str" cm="1">
        <f t="array" ref="L45">IFERROR(INDEX(Table1[Rebate],MATCH(Table1323[[#This Row],[Rebate Category]],Table1[BC Hydro Rebate Category],0))+IF(AND(Table1323[[#This Row],[Integrated Controls Capable]],Table1323[[#This Row],[Fixture Integrated Occupancy/Daylight Harvesting Sensors?]]="Yes"),Table6[],0),"")</f>
        <v/>
      </c>
      <c r="M45" s="574" t="str">
        <f>IFERROR(IF(AND(Table1323[[#This Row],[Integrated Controls Capable]],Table1323[[#This Row],[Fixture Integrated Occupancy/Daylight Harvesting Sensors?]]="Yes"),"per integrated luminaire", INDEX(Table1[Rebate Unit],MATCH(Table1323[[#This Row],[Rebate Category]],Table1[BC Hydro Rebate Category],0))),"")</f>
        <v/>
      </c>
      <c r="N45" s="207"/>
      <c r="O45" s="207"/>
      <c r="P45" s="206"/>
      <c r="Q45" s="209">
        <f>IFERROR(Table1323[[#This Row],[Rebate per luminaire, ($)]]*Table1323[[#This Row],[Quantity of luminaires or lamps]],0)</f>
        <v>0</v>
      </c>
      <c r="R4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45" s="211" t="str">
        <f>IFERROR(IF(Table1323[[#This Row],[Quantity of luminaires or lamps]]="","",IF(Table1323[[#This Row],[Controls Rebate]]="",0,Table1323[[#This Row],[Controls Rebate]])+Table1323[[#This Row],[Lighting Rebate]]),"")</f>
        <v/>
      </c>
      <c r="T4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45" s="213">
        <f>IFERROR(Table1323[[#This Row],[Rebate kW Savings]]*Table1323[[#This Row],[Annual hours from space type]],0)</f>
        <v>0</v>
      </c>
      <c r="V4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45" s="213">
        <f>Table1323[[#This Row],[Rebate kWh savings]]+Table1323[[#This Row],[Controls Rebate kWh Savings]]</f>
        <v>0</v>
      </c>
      <c r="X45" s="214" t="str">
        <f>IFERROR(IF(Table1323[[#This Row],[Quantity of luminaires or lamps]]="","",Table1323[[#This Row],[Rebate kW Savings]]),0)</f>
        <v/>
      </c>
      <c r="Y45" s="215" t="str">
        <f>IFERROR(IF(Table1323[[#This Row],[Quantity of luminaires or lamps]]="","",Table1323[[#This Row],[Total Lighting Rebate Energy Savings]]),0)</f>
        <v/>
      </c>
      <c r="Z45" s="207"/>
      <c r="AA45" s="18" t="str">
        <f>IF(Table1323[[#This Row],[Selected for Implementation]]="Yes",IF(Table1323[[#This Row],[No]]="","",(CONCATENATE("Light_"&amp;Table1323[[#This Row],[Rebate Category]]&amp;Table1323[[#This Row],[LED lamp/luminaire retrofit part '#]]))),"")</f>
        <v/>
      </c>
      <c r="AB45" s="20" t="str" cm="1">
        <f t="array" ref="AB45">IFERROR(IF(Table1323[[#This Row],[Annual hours from space type]]&gt;=Table14[],Table1323[[#This Row],[Demand Savings, kW]],0),0)</f>
        <v/>
      </c>
      <c r="AC45" s="19" t="str">
        <f>IFERROR(INDEX(Table1[BC Hydro xRM ECM],MATCH(Table1323[[#This Row],[Rebate Category]],Table1[BC Hydro Rebate Category],0)),"")</f>
        <v/>
      </c>
      <c r="AD45" s="18">
        <f>IF(Table1323[[#This Row],[Selected for Implementation]]="Yes",1,0)</f>
        <v>0</v>
      </c>
      <c r="AE45" s="18" t="e">
        <f>Table1323[[#This Row],[Implement]]*Table1323[[#This Row],[Demand Savings, kW]]</f>
        <v>#VALUE!</v>
      </c>
      <c r="AF45" s="18" t="e">
        <f>Table1323[[#This Row],[Implement]]*Table1323[[#This Row],[BCH Peak kW]]</f>
        <v>#VALUE!</v>
      </c>
      <c r="AG45" s="18">
        <f>Table1323[[#This Row],[Implement]]*Table1323[[#This Row],[Rebate kWh savings]]</f>
        <v>0</v>
      </c>
      <c r="AH45" s="18">
        <f>Table1323[[#This Row],[Implement]]*Table1323[[#This Row],[Controls Rebate kWh Savings]]</f>
        <v>0</v>
      </c>
      <c r="AI45" s="233">
        <f>Table1323[[#This Row],[Implement]]*Table1323[[#This Row],[Controls Rebate]]</f>
        <v>0</v>
      </c>
      <c r="AJ45" s="569">
        <f>IF(Table1323[[#This Row],[iControls Incentives]]&gt;0,Table1323[[#This Row],[Number of  sensors]],0)</f>
        <v>0</v>
      </c>
      <c r="AK45" s="233">
        <f>Table1323[[#This Row],[Implement]]*Table1323[[#This Row],[Lighting Rebate]]</f>
        <v>0</v>
      </c>
    </row>
    <row r="46" spans="2:37" ht="32.15" customHeight="1" x14ac:dyDescent="0.3">
      <c r="B46" s="17" t="str">
        <f>IF(Table1323[[#This Row],[Space Type]]="","","L-"&amp;ROW(40:40))</f>
        <v/>
      </c>
      <c r="C46" s="206"/>
      <c r="D46" s="207"/>
      <c r="E46" s="207"/>
      <c r="F46" s="207"/>
      <c r="G46" s="208" t="str">
        <f>IFERROR(IF(Table1323[[#This Row],[No]]="","",IF(Table1323[[#This Row],[Space Type]]="","select Space Type",INDEX(Table5[Hours],MATCH(Table1323[[#This Row],[Space Type]],Table5[Space Type],0)))),"")</f>
        <v/>
      </c>
      <c r="H46" s="207"/>
      <c r="I46" s="207"/>
      <c r="J46" s="613" t="str">
        <f>IFERROR(INDEX(Table1[Integrated Controls Capable],MATCH(Table1323[[#This Row],[Rebate Category]],Table1[BC Hydro Rebate Category],0)),"")</f>
        <v/>
      </c>
      <c r="K46" s="207"/>
      <c r="L46" s="572" t="str" cm="1">
        <f t="array" ref="L46">IFERROR(INDEX(Table1[Rebate],MATCH(Table1323[[#This Row],[Rebate Category]],Table1[BC Hydro Rebate Category],0))+IF(AND(Table1323[[#This Row],[Integrated Controls Capable]],Table1323[[#This Row],[Fixture Integrated Occupancy/Daylight Harvesting Sensors?]]="Yes"),Table6[],0),"")</f>
        <v/>
      </c>
      <c r="M46" s="574" t="str">
        <f>IFERROR(IF(AND(Table1323[[#This Row],[Integrated Controls Capable]],Table1323[[#This Row],[Fixture Integrated Occupancy/Daylight Harvesting Sensors?]]="Yes"),"per integrated luminaire", INDEX(Table1[Rebate Unit],MATCH(Table1323[[#This Row],[Rebate Category]],Table1[BC Hydro Rebate Category],0))),"")</f>
        <v/>
      </c>
      <c r="N46" s="207"/>
      <c r="O46" s="207"/>
      <c r="P46" s="206"/>
      <c r="Q46" s="209">
        <f>IFERROR(Table1323[[#This Row],[Rebate per luminaire, ($)]]*Table1323[[#This Row],[Quantity of luminaires or lamps]],0)</f>
        <v>0</v>
      </c>
      <c r="R4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46" s="211" t="str">
        <f>IFERROR(IF(Table1323[[#This Row],[Quantity of luminaires or lamps]]="","",IF(Table1323[[#This Row],[Controls Rebate]]="",0,Table1323[[#This Row],[Controls Rebate]])+Table1323[[#This Row],[Lighting Rebate]]),"")</f>
        <v/>
      </c>
      <c r="T4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46" s="213">
        <f>IFERROR(Table1323[[#This Row],[Rebate kW Savings]]*Table1323[[#This Row],[Annual hours from space type]],0)</f>
        <v>0</v>
      </c>
      <c r="V4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46" s="213">
        <f>Table1323[[#This Row],[Rebate kWh savings]]+Table1323[[#This Row],[Controls Rebate kWh Savings]]</f>
        <v>0</v>
      </c>
      <c r="X46" s="214" t="str">
        <f>IFERROR(IF(Table1323[[#This Row],[Quantity of luminaires or lamps]]="","",Table1323[[#This Row],[Rebate kW Savings]]),0)</f>
        <v/>
      </c>
      <c r="Y46" s="215" t="str">
        <f>IFERROR(IF(Table1323[[#This Row],[Quantity of luminaires or lamps]]="","",Table1323[[#This Row],[Total Lighting Rebate Energy Savings]]),0)</f>
        <v/>
      </c>
      <c r="Z46" s="207"/>
      <c r="AA46" s="18" t="str">
        <f>IF(Table1323[[#This Row],[Selected for Implementation]]="Yes",IF(Table1323[[#This Row],[No]]="","",(CONCATENATE("Light_"&amp;Table1323[[#This Row],[Rebate Category]]&amp;Table1323[[#This Row],[LED lamp/luminaire retrofit part '#]]))),"")</f>
        <v/>
      </c>
      <c r="AB46" s="20" t="str" cm="1">
        <f t="array" ref="AB46">IFERROR(IF(Table1323[[#This Row],[Annual hours from space type]]&gt;=Table14[],Table1323[[#This Row],[Demand Savings, kW]],0),0)</f>
        <v/>
      </c>
      <c r="AC46" s="19" t="str">
        <f>IFERROR(INDEX(Table1[BC Hydro xRM ECM],MATCH(Table1323[[#This Row],[Rebate Category]],Table1[BC Hydro Rebate Category],0)),"")</f>
        <v/>
      </c>
      <c r="AD46" s="18">
        <f>IF(Table1323[[#This Row],[Selected for Implementation]]="Yes",1,0)</f>
        <v>0</v>
      </c>
      <c r="AE46" s="18" t="e">
        <f>Table1323[[#This Row],[Implement]]*Table1323[[#This Row],[Demand Savings, kW]]</f>
        <v>#VALUE!</v>
      </c>
      <c r="AF46" s="18" t="e">
        <f>Table1323[[#This Row],[Implement]]*Table1323[[#This Row],[BCH Peak kW]]</f>
        <v>#VALUE!</v>
      </c>
      <c r="AG46" s="18">
        <f>Table1323[[#This Row],[Implement]]*Table1323[[#This Row],[Rebate kWh savings]]</f>
        <v>0</v>
      </c>
      <c r="AH46" s="18">
        <f>Table1323[[#This Row],[Implement]]*Table1323[[#This Row],[Controls Rebate kWh Savings]]</f>
        <v>0</v>
      </c>
      <c r="AI46" s="233">
        <f>Table1323[[#This Row],[Implement]]*Table1323[[#This Row],[Controls Rebate]]</f>
        <v>0</v>
      </c>
      <c r="AJ46" s="569">
        <f>IF(Table1323[[#This Row],[iControls Incentives]]&gt;0,Table1323[[#This Row],[Number of  sensors]],0)</f>
        <v>0</v>
      </c>
      <c r="AK46" s="233">
        <f>Table1323[[#This Row],[Implement]]*Table1323[[#This Row],[Lighting Rebate]]</f>
        <v>0</v>
      </c>
    </row>
    <row r="47" spans="2:37" ht="32.15" customHeight="1" x14ac:dyDescent="0.3">
      <c r="B47" s="17" t="str">
        <f>IF(Table1323[[#This Row],[Space Type]]="","","L-"&amp;ROW(41:41))</f>
        <v/>
      </c>
      <c r="C47" s="206"/>
      <c r="D47" s="207"/>
      <c r="E47" s="207"/>
      <c r="F47" s="207"/>
      <c r="G47" s="208" t="str">
        <f>IFERROR(IF(Table1323[[#This Row],[No]]="","",IF(Table1323[[#This Row],[Space Type]]="","select Space Type",INDEX(Table5[Hours],MATCH(Table1323[[#This Row],[Space Type]],Table5[Space Type],0)))),"")</f>
        <v/>
      </c>
      <c r="H47" s="207"/>
      <c r="I47" s="207"/>
      <c r="J47" s="613" t="str">
        <f>IFERROR(INDEX(Table1[Integrated Controls Capable],MATCH(Table1323[[#This Row],[Rebate Category]],Table1[BC Hydro Rebate Category],0)),"")</f>
        <v/>
      </c>
      <c r="K47" s="207"/>
      <c r="L47" s="572" t="str" cm="1">
        <f t="array" ref="L47">IFERROR(INDEX(Table1[Rebate],MATCH(Table1323[[#This Row],[Rebate Category]],Table1[BC Hydro Rebate Category],0))+IF(AND(Table1323[[#This Row],[Integrated Controls Capable]],Table1323[[#This Row],[Fixture Integrated Occupancy/Daylight Harvesting Sensors?]]="Yes"),Table6[],0),"")</f>
        <v/>
      </c>
      <c r="M47" s="574" t="str">
        <f>IFERROR(IF(AND(Table1323[[#This Row],[Integrated Controls Capable]],Table1323[[#This Row],[Fixture Integrated Occupancy/Daylight Harvesting Sensors?]]="Yes"),"per integrated luminaire", INDEX(Table1[Rebate Unit],MATCH(Table1323[[#This Row],[Rebate Category]],Table1[BC Hydro Rebate Category],0))),"")</f>
        <v/>
      </c>
      <c r="N47" s="207"/>
      <c r="O47" s="207"/>
      <c r="P47" s="206"/>
      <c r="Q47" s="209">
        <f>IFERROR(Table1323[[#This Row],[Rebate per luminaire, ($)]]*Table1323[[#This Row],[Quantity of luminaires or lamps]],0)</f>
        <v>0</v>
      </c>
      <c r="R4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47" s="211" t="str">
        <f>IFERROR(IF(Table1323[[#This Row],[Quantity of luminaires or lamps]]="","",IF(Table1323[[#This Row],[Controls Rebate]]="",0,Table1323[[#This Row],[Controls Rebate]])+Table1323[[#This Row],[Lighting Rebate]]),"")</f>
        <v/>
      </c>
      <c r="T4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47" s="213">
        <f>IFERROR(Table1323[[#This Row],[Rebate kW Savings]]*Table1323[[#This Row],[Annual hours from space type]],0)</f>
        <v>0</v>
      </c>
      <c r="V4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47" s="213">
        <f>Table1323[[#This Row],[Rebate kWh savings]]+Table1323[[#This Row],[Controls Rebate kWh Savings]]</f>
        <v>0</v>
      </c>
      <c r="X47" s="214" t="str">
        <f>IFERROR(IF(Table1323[[#This Row],[Quantity of luminaires or lamps]]="","",Table1323[[#This Row],[Rebate kW Savings]]),0)</f>
        <v/>
      </c>
      <c r="Y47" s="215" t="str">
        <f>IFERROR(IF(Table1323[[#This Row],[Quantity of luminaires or lamps]]="","",Table1323[[#This Row],[Total Lighting Rebate Energy Savings]]),0)</f>
        <v/>
      </c>
      <c r="Z47" s="207"/>
      <c r="AA47" s="18" t="str">
        <f>IF(Table1323[[#This Row],[Selected for Implementation]]="Yes",IF(Table1323[[#This Row],[No]]="","",(CONCATENATE("Light_"&amp;Table1323[[#This Row],[Rebate Category]]&amp;Table1323[[#This Row],[LED lamp/luminaire retrofit part '#]]))),"")</f>
        <v/>
      </c>
      <c r="AB47" s="20" t="str" cm="1">
        <f t="array" ref="AB47">IFERROR(IF(Table1323[[#This Row],[Annual hours from space type]]&gt;=Table14[],Table1323[[#This Row],[Demand Savings, kW]],0),0)</f>
        <v/>
      </c>
      <c r="AC47" s="19" t="str">
        <f>IFERROR(INDEX(Table1[BC Hydro xRM ECM],MATCH(Table1323[[#This Row],[Rebate Category]],Table1[BC Hydro Rebate Category],0)),"")</f>
        <v/>
      </c>
      <c r="AD47" s="18">
        <f>IF(Table1323[[#This Row],[Selected for Implementation]]="Yes",1,0)</f>
        <v>0</v>
      </c>
      <c r="AE47" s="18" t="e">
        <f>Table1323[[#This Row],[Implement]]*Table1323[[#This Row],[Demand Savings, kW]]</f>
        <v>#VALUE!</v>
      </c>
      <c r="AF47" s="18" t="e">
        <f>Table1323[[#This Row],[Implement]]*Table1323[[#This Row],[BCH Peak kW]]</f>
        <v>#VALUE!</v>
      </c>
      <c r="AG47" s="18">
        <f>Table1323[[#This Row],[Implement]]*Table1323[[#This Row],[Rebate kWh savings]]</f>
        <v>0</v>
      </c>
      <c r="AH47" s="18">
        <f>Table1323[[#This Row],[Implement]]*Table1323[[#This Row],[Controls Rebate kWh Savings]]</f>
        <v>0</v>
      </c>
      <c r="AI47" s="233">
        <f>Table1323[[#This Row],[Implement]]*Table1323[[#This Row],[Controls Rebate]]</f>
        <v>0</v>
      </c>
      <c r="AJ47" s="569">
        <f>IF(Table1323[[#This Row],[iControls Incentives]]&gt;0,Table1323[[#This Row],[Number of  sensors]],0)</f>
        <v>0</v>
      </c>
      <c r="AK47" s="233">
        <f>Table1323[[#This Row],[Implement]]*Table1323[[#This Row],[Lighting Rebate]]</f>
        <v>0</v>
      </c>
    </row>
    <row r="48" spans="2:37" ht="32.15" customHeight="1" x14ac:dyDescent="0.3">
      <c r="B48" s="17" t="str">
        <f>IF(Table1323[[#This Row],[Space Type]]="","","L-"&amp;ROW(42:42))</f>
        <v/>
      </c>
      <c r="C48" s="206"/>
      <c r="D48" s="207"/>
      <c r="E48" s="207"/>
      <c r="F48" s="207"/>
      <c r="G48" s="208" t="str">
        <f>IFERROR(IF(Table1323[[#This Row],[No]]="","",IF(Table1323[[#This Row],[Space Type]]="","select Space Type",INDEX(Table5[Hours],MATCH(Table1323[[#This Row],[Space Type]],Table5[Space Type],0)))),"")</f>
        <v/>
      </c>
      <c r="H48" s="207"/>
      <c r="I48" s="207"/>
      <c r="J48" s="613" t="str">
        <f>IFERROR(INDEX(Table1[Integrated Controls Capable],MATCH(Table1323[[#This Row],[Rebate Category]],Table1[BC Hydro Rebate Category],0)),"")</f>
        <v/>
      </c>
      <c r="K48" s="207"/>
      <c r="L48" s="572" t="str" cm="1">
        <f t="array" ref="L48">IFERROR(INDEX(Table1[Rebate],MATCH(Table1323[[#This Row],[Rebate Category]],Table1[BC Hydro Rebate Category],0))+IF(AND(Table1323[[#This Row],[Integrated Controls Capable]],Table1323[[#This Row],[Fixture Integrated Occupancy/Daylight Harvesting Sensors?]]="Yes"),Table6[],0),"")</f>
        <v/>
      </c>
      <c r="M48" s="574" t="str">
        <f>IFERROR(IF(AND(Table1323[[#This Row],[Integrated Controls Capable]],Table1323[[#This Row],[Fixture Integrated Occupancy/Daylight Harvesting Sensors?]]="Yes"),"per integrated luminaire", INDEX(Table1[Rebate Unit],MATCH(Table1323[[#This Row],[Rebate Category]],Table1[BC Hydro Rebate Category],0))),"")</f>
        <v/>
      </c>
      <c r="N48" s="207"/>
      <c r="O48" s="207"/>
      <c r="P48" s="206"/>
      <c r="Q48" s="209">
        <f>IFERROR(Table1323[[#This Row],[Rebate per luminaire, ($)]]*Table1323[[#This Row],[Quantity of luminaires or lamps]],0)</f>
        <v>0</v>
      </c>
      <c r="R4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48" s="211" t="str">
        <f>IFERROR(IF(Table1323[[#This Row],[Quantity of luminaires or lamps]]="","",IF(Table1323[[#This Row],[Controls Rebate]]="",0,Table1323[[#This Row],[Controls Rebate]])+Table1323[[#This Row],[Lighting Rebate]]),"")</f>
        <v/>
      </c>
      <c r="T4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48" s="213">
        <f>IFERROR(Table1323[[#This Row],[Rebate kW Savings]]*Table1323[[#This Row],[Annual hours from space type]],0)</f>
        <v>0</v>
      </c>
      <c r="V4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48" s="213">
        <f>Table1323[[#This Row],[Rebate kWh savings]]+Table1323[[#This Row],[Controls Rebate kWh Savings]]</f>
        <v>0</v>
      </c>
      <c r="X48" s="214" t="str">
        <f>IFERROR(IF(Table1323[[#This Row],[Quantity of luminaires or lamps]]="","",Table1323[[#This Row],[Rebate kW Savings]]),0)</f>
        <v/>
      </c>
      <c r="Y48" s="215" t="str">
        <f>IFERROR(IF(Table1323[[#This Row],[Quantity of luminaires or lamps]]="","",Table1323[[#This Row],[Total Lighting Rebate Energy Savings]]),0)</f>
        <v/>
      </c>
      <c r="Z48" s="207"/>
      <c r="AA48" s="18" t="str">
        <f>IF(Table1323[[#This Row],[Selected for Implementation]]="Yes",IF(Table1323[[#This Row],[No]]="","",(CONCATENATE("Light_"&amp;Table1323[[#This Row],[Rebate Category]]&amp;Table1323[[#This Row],[LED lamp/luminaire retrofit part '#]]))),"")</f>
        <v/>
      </c>
      <c r="AB48" s="20" t="str" cm="1">
        <f t="array" ref="AB48">IFERROR(IF(Table1323[[#This Row],[Annual hours from space type]]&gt;=Table14[],Table1323[[#This Row],[Demand Savings, kW]],0),0)</f>
        <v/>
      </c>
      <c r="AC48" s="19" t="str">
        <f>IFERROR(INDEX(Table1[BC Hydro xRM ECM],MATCH(Table1323[[#This Row],[Rebate Category]],Table1[BC Hydro Rebate Category],0)),"")</f>
        <v/>
      </c>
      <c r="AD48" s="18">
        <f>IF(Table1323[[#This Row],[Selected for Implementation]]="Yes",1,0)</f>
        <v>0</v>
      </c>
      <c r="AE48" s="18" t="e">
        <f>Table1323[[#This Row],[Implement]]*Table1323[[#This Row],[Demand Savings, kW]]</f>
        <v>#VALUE!</v>
      </c>
      <c r="AF48" s="18" t="e">
        <f>Table1323[[#This Row],[Implement]]*Table1323[[#This Row],[BCH Peak kW]]</f>
        <v>#VALUE!</v>
      </c>
      <c r="AG48" s="18">
        <f>Table1323[[#This Row],[Implement]]*Table1323[[#This Row],[Rebate kWh savings]]</f>
        <v>0</v>
      </c>
      <c r="AH48" s="18">
        <f>Table1323[[#This Row],[Implement]]*Table1323[[#This Row],[Controls Rebate kWh Savings]]</f>
        <v>0</v>
      </c>
      <c r="AI48" s="233">
        <f>Table1323[[#This Row],[Implement]]*Table1323[[#This Row],[Controls Rebate]]</f>
        <v>0</v>
      </c>
      <c r="AJ48" s="569">
        <f>IF(Table1323[[#This Row],[iControls Incentives]]&gt;0,Table1323[[#This Row],[Number of  sensors]],0)</f>
        <v>0</v>
      </c>
      <c r="AK48" s="233">
        <f>Table1323[[#This Row],[Implement]]*Table1323[[#This Row],[Lighting Rebate]]</f>
        <v>0</v>
      </c>
    </row>
    <row r="49" spans="2:37" ht="32.15" customHeight="1" x14ac:dyDescent="0.3">
      <c r="B49" s="17" t="str">
        <f>IF(Table1323[[#This Row],[Space Type]]="","","L-"&amp;ROW(43:43))</f>
        <v/>
      </c>
      <c r="C49" s="206"/>
      <c r="D49" s="207"/>
      <c r="E49" s="207"/>
      <c r="F49" s="207"/>
      <c r="G49" s="208" t="str">
        <f>IFERROR(IF(Table1323[[#This Row],[No]]="","",IF(Table1323[[#This Row],[Space Type]]="","select Space Type",INDEX(Table5[Hours],MATCH(Table1323[[#This Row],[Space Type]],Table5[Space Type],0)))),"")</f>
        <v/>
      </c>
      <c r="H49" s="207"/>
      <c r="I49" s="207"/>
      <c r="J49" s="613" t="str">
        <f>IFERROR(INDEX(Table1[Integrated Controls Capable],MATCH(Table1323[[#This Row],[Rebate Category]],Table1[BC Hydro Rebate Category],0)),"")</f>
        <v/>
      </c>
      <c r="K49" s="207"/>
      <c r="L49" s="572" t="str" cm="1">
        <f t="array" ref="L49">IFERROR(INDEX(Table1[Rebate],MATCH(Table1323[[#This Row],[Rebate Category]],Table1[BC Hydro Rebate Category],0))+IF(AND(Table1323[[#This Row],[Integrated Controls Capable]],Table1323[[#This Row],[Fixture Integrated Occupancy/Daylight Harvesting Sensors?]]="Yes"),Table6[],0),"")</f>
        <v/>
      </c>
      <c r="M49" s="574" t="str">
        <f>IFERROR(IF(AND(Table1323[[#This Row],[Integrated Controls Capable]],Table1323[[#This Row],[Fixture Integrated Occupancy/Daylight Harvesting Sensors?]]="Yes"),"per integrated luminaire", INDEX(Table1[Rebate Unit],MATCH(Table1323[[#This Row],[Rebate Category]],Table1[BC Hydro Rebate Category],0))),"")</f>
        <v/>
      </c>
      <c r="N49" s="207"/>
      <c r="O49" s="207"/>
      <c r="P49" s="206"/>
      <c r="Q49" s="209">
        <f>IFERROR(Table1323[[#This Row],[Rebate per luminaire, ($)]]*Table1323[[#This Row],[Quantity of luminaires or lamps]],0)</f>
        <v>0</v>
      </c>
      <c r="R4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49" s="211" t="str">
        <f>IFERROR(IF(Table1323[[#This Row],[Quantity of luminaires or lamps]]="","",IF(Table1323[[#This Row],[Controls Rebate]]="",0,Table1323[[#This Row],[Controls Rebate]])+Table1323[[#This Row],[Lighting Rebate]]),"")</f>
        <v/>
      </c>
      <c r="T4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49" s="213">
        <f>IFERROR(Table1323[[#This Row],[Rebate kW Savings]]*Table1323[[#This Row],[Annual hours from space type]],0)</f>
        <v>0</v>
      </c>
      <c r="V4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49" s="213">
        <f>Table1323[[#This Row],[Rebate kWh savings]]+Table1323[[#This Row],[Controls Rebate kWh Savings]]</f>
        <v>0</v>
      </c>
      <c r="X49" s="214" t="str">
        <f>IFERROR(IF(Table1323[[#This Row],[Quantity of luminaires or lamps]]="","",Table1323[[#This Row],[Rebate kW Savings]]),0)</f>
        <v/>
      </c>
      <c r="Y49" s="215" t="str">
        <f>IFERROR(IF(Table1323[[#This Row],[Quantity of luminaires or lamps]]="","",Table1323[[#This Row],[Total Lighting Rebate Energy Savings]]),0)</f>
        <v/>
      </c>
      <c r="Z49" s="207"/>
      <c r="AA49" s="18" t="str">
        <f>IF(Table1323[[#This Row],[Selected for Implementation]]="Yes",IF(Table1323[[#This Row],[No]]="","",(CONCATENATE("Light_"&amp;Table1323[[#This Row],[Rebate Category]]&amp;Table1323[[#This Row],[LED lamp/luminaire retrofit part '#]]))),"")</f>
        <v/>
      </c>
      <c r="AB49" s="20" t="str" cm="1">
        <f t="array" ref="AB49">IFERROR(IF(Table1323[[#This Row],[Annual hours from space type]]&gt;=Table14[],Table1323[[#This Row],[Demand Savings, kW]],0),0)</f>
        <v/>
      </c>
      <c r="AC49" s="19" t="str">
        <f>IFERROR(INDEX(Table1[BC Hydro xRM ECM],MATCH(Table1323[[#This Row],[Rebate Category]],Table1[BC Hydro Rebate Category],0)),"")</f>
        <v/>
      </c>
      <c r="AD49" s="18">
        <f>IF(Table1323[[#This Row],[Selected for Implementation]]="Yes",1,0)</f>
        <v>0</v>
      </c>
      <c r="AE49" s="18" t="e">
        <f>Table1323[[#This Row],[Implement]]*Table1323[[#This Row],[Demand Savings, kW]]</f>
        <v>#VALUE!</v>
      </c>
      <c r="AF49" s="18" t="e">
        <f>Table1323[[#This Row],[Implement]]*Table1323[[#This Row],[BCH Peak kW]]</f>
        <v>#VALUE!</v>
      </c>
      <c r="AG49" s="18">
        <f>Table1323[[#This Row],[Implement]]*Table1323[[#This Row],[Rebate kWh savings]]</f>
        <v>0</v>
      </c>
      <c r="AH49" s="18">
        <f>Table1323[[#This Row],[Implement]]*Table1323[[#This Row],[Controls Rebate kWh Savings]]</f>
        <v>0</v>
      </c>
      <c r="AI49" s="233">
        <f>Table1323[[#This Row],[Implement]]*Table1323[[#This Row],[Controls Rebate]]</f>
        <v>0</v>
      </c>
      <c r="AJ49" s="569">
        <f>IF(Table1323[[#This Row],[iControls Incentives]]&gt;0,Table1323[[#This Row],[Number of  sensors]],0)</f>
        <v>0</v>
      </c>
      <c r="AK49" s="233">
        <f>Table1323[[#This Row],[Implement]]*Table1323[[#This Row],[Lighting Rebate]]</f>
        <v>0</v>
      </c>
    </row>
    <row r="50" spans="2:37" ht="32.15" customHeight="1" x14ac:dyDescent="0.3">
      <c r="B50" s="17" t="str">
        <f>IF(Table1323[[#This Row],[Space Type]]="","","L-"&amp;ROW(44:44))</f>
        <v/>
      </c>
      <c r="C50" s="206"/>
      <c r="D50" s="207"/>
      <c r="E50" s="207"/>
      <c r="F50" s="207"/>
      <c r="G50" s="208" t="str">
        <f>IFERROR(IF(Table1323[[#This Row],[No]]="","",IF(Table1323[[#This Row],[Space Type]]="","select Space Type",INDEX(Table5[Hours],MATCH(Table1323[[#This Row],[Space Type]],Table5[Space Type],0)))),"")</f>
        <v/>
      </c>
      <c r="H50" s="207"/>
      <c r="I50" s="207"/>
      <c r="J50" s="613" t="str">
        <f>IFERROR(INDEX(Table1[Integrated Controls Capable],MATCH(Table1323[[#This Row],[Rebate Category]],Table1[BC Hydro Rebate Category],0)),"")</f>
        <v/>
      </c>
      <c r="K50" s="207"/>
      <c r="L50" s="572" t="str" cm="1">
        <f t="array" ref="L50">IFERROR(INDEX(Table1[Rebate],MATCH(Table1323[[#This Row],[Rebate Category]],Table1[BC Hydro Rebate Category],0))+IF(AND(Table1323[[#This Row],[Integrated Controls Capable]],Table1323[[#This Row],[Fixture Integrated Occupancy/Daylight Harvesting Sensors?]]="Yes"),Table6[],0),"")</f>
        <v/>
      </c>
      <c r="M50" s="574" t="str">
        <f>IFERROR(IF(AND(Table1323[[#This Row],[Integrated Controls Capable]],Table1323[[#This Row],[Fixture Integrated Occupancy/Daylight Harvesting Sensors?]]="Yes"),"per integrated luminaire", INDEX(Table1[Rebate Unit],MATCH(Table1323[[#This Row],[Rebate Category]],Table1[BC Hydro Rebate Category],0))),"")</f>
        <v/>
      </c>
      <c r="N50" s="207"/>
      <c r="O50" s="207"/>
      <c r="P50" s="206"/>
      <c r="Q50" s="209">
        <f>IFERROR(Table1323[[#This Row],[Rebate per luminaire, ($)]]*Table1323[[#This Row],[Quantity of luminaires or lamps]],0)</f>
        <v>0</v>
      </c>
      <c r="R5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50" s="211" t="str">
        <f>IFERROR(IF(Table1323[[#This Row],[Quantity of luminaires or lamps]]="","",IF(Table1323[[#This Row],[Controls Rebate]]="",0,Table1323[[#This Row],[Controls Rebate]])+Table1323[[#This Row],[Lighting Rebate]]),"")</f>
        <v/>
      </c>
      <c r="T5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50" s="213">
        <f>IFERROR(Table1323[[#This Row],[Rebate kW Savings]]*Table1323[[#This Row],[Annual hours from space type]],0)</f>
        <v>0</v>
      </c>
      <c r="V5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50" s="213">
        <f>Table1323[[#This Row],[Rebate kWh savings]]+Table1323[[#This Row],[Controls Rebate kWh Savings]]</f>
        <v>0</v>
      </c>
      <c r="X50" s="214" t="str">
        <f>IFERROR(IF(Table1323[[#This Row],[Quantity of luminaires or lamps]]="","",Table1323[[#This Row],[Rebate kW Savings]]),0)</f>
        <v/>
      </c>
      <c r="Y50" s="215" t="str">
        <f>IFERROR(IF(Table1323[[#This Row],[Quantity of luminaires or lamps]]="","",Table1323[[#This Row],[Total Lighting Rebate Energy Savings]]),0)</f>
        <v/>
      </c>
      <c r="Z50" s="207"/>
      <c r="AA50" s="18" t="str">
        <f>IF(Table1323[[#This Row],[Selected for Implementation]]="Yes",IF(Table1323[[#This Row],[No]]="","",(CONCATENATE("Light_"&amp;Table1323[[#This Row],[Rebate Category]]&amp;Table1323[[#This Row],[LED lamp/luminaire retrofit part '#]]))),"")</f>
        <v/>
      </c>
      <c r="AB50" s="20" t="str" cm="1">
        <f t="array" ref="AB50">IFERROR(IF(Table1323[[#This Row],[Annual hours from space type]]&gt;=Table14[],Table1323[[#This Row],[Demand Savings, kW]],0),0)</f>
        <v/>
      </c>
      <c r="AC50" s="19" t="str">
        <f>IFERROR(INDEX(Table1[BC Hydro xRM ECM],MATCH(Table1323[[#This Row],[Rebate Category]],Table1[BC Hydro Rebate Category],0)),"")</f>
        <v/>
      </c>
      <c r="AD50" s="18">
        <f>IF(Table1323[[#This Row],[Selected for Implementation]]="Yes",1,0)</f>
        <v>0</v>
      </c>
      <c r="AE50" s="18" t="e">
        <f>Table1323[[#This Row],[Implement]]*Table1323[[#This Row],[Demand Savings, kW]]</f>
        <v>#VALUE!</v>
      </c>
      <c r="AF50" s="18" t="e">
        <f>Table1323[[#This Row],[Implement]]*Table1323[[#This Row],[BCH Peak kW]]</f>
        <v>#VALUE!</v>
      </c>
      <c r="AG50" s="18">
        <f>Table1323[[#This Row],[Implement]]*Table1323[[#This Row],[Rebate kWh savings]]</f>
        <v>0</v>
      </c>
      <c r="AH50" s="18">
        <f>Table1323[[#This Row],[Implement]]*Table1323[[#This Row],[Controls Rebate kWh Savings]]</f>
        <v>0</v>
      </c>
      <c r="AI50" s="233">
        <f>Table1323[[#This Row],[Implement]]*Table1323[[#This Row],[Controls Rebate]]</f>
        <v>0</v>
      </c>
      <c r="AJ50" s="569">
        <f>IF(Table1323[[#This Row],[iControls Incentives]]&gt;0,Table1323[[#This Row],[Number of  sensors]],0)</f>
        <v>0</v>
      </c>
      <c r="AK50" s="233">
        <f>Table1323[[#This Row],[Implement]]*Table1323[[#This Row],[Lighting Rebate]]</f>
        <v>0</v>
      </c>
    </row>
    <row r="51" spans="2:37" ht="32.15" customHeight="1" x14ac:dyDescent="0.3">
      <c r="B51" s="17" t="str">
        <f>IF(Table1323[[#This Row],[Space Type]]="","","L-"&amp;ROW(45:45))</f>
        <v/>
      </c>
      <c r="C51" s="206"/>
      <c r="D51" s="207"/>
      <c r="E51" s="207"/>
      <c r="F51" s="207"/>
      <c r="G51" s="208" t="str">
        <f>IFERROR(IF(Table1323[[#This Row],[No]]="","",IF(Table1323[[#This Row],[Space Type]]="","select Space Type",INDEX(Table5[Hours],MATCH(Table1323[[#This Row],[Space Type]],Table5[Space Type],0)))),"")</f>
        <v/>
      </c>
      <c r="H51" s="207"/>
      <c r="I51" s="207"/>
      <c r="J51" s="613" t="str">
        <f>IFERROR(INDEX(Table1[Integrated Controls Capable],MATCH(Table1323[[#This Row],[Rebate Category]],Table1[BC Hydro Rebate Category],0)),"")</f>
        <v/>
      </c>
      <c r="K51" s="207"/>
      <c r="L51" s="572" t="str" cm="1">
        <f t="array" ref="L51">IFERROR(INDEX(Table1[Rebate],MATCH(Table1323[[#This Row],[Rebate Category]],Table1[BC Hydro Rebate Category],0))+IF(AND(Table1323[[#This Row],[Integrated Controls Capable]],Table1323[[#This Row],[Fixture Integrated Occupancy/Daylight Harvesting Sensors?]]="Yes"),Table6[],0),"")</f>
        <v/>
      </c>
      <c r="M51" s="574" t="str">
        <f>IFERROR(IF(AND(Table1323[[#This Row],[Integrated Controls Capable]],Table1323[[#This Row],[Fixture Integrated Occupancy/Daylight Harvesting Sensors?]]="Yes"),"per integrated luminaire", INDEX(Table1[Rebate Unit],MATCH(Table1323[[#This Row],[Rebate Category]],Table1[BC Hydro Rebate Category],0))),"")</f>
        <v/>
      </c>
      <c r="N51" s="207"/>
      <c r="O51" s="207"/>
      <c r="P51" s="206"/>
      <c r="Q51" s="209">
        <f>IFERROR(Table1323[[#This Row],[Rebate per luminaire, ($)]]*Table1323[[#This Row],[Quantity of luminaires or lamps]],0)</f>
        <v>0</v>
      </c>
      <c r="R5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51" s="211" t="str">
        <f>IFERROR(IF(Table1323[[#This Row],[Quantity of luminaires or lamps]]="","",IF(Table1323[[#This Row],[Controls Rebate]]="",0,Table1323[[#This Row],[Controls Rebate]])+Table1323[[#This Row],[Lighting Rebate]]),"")</f>
        <v/>
      </c>
      <c r="T5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51" s="213">
        <f>IFERROR(Table1323[[#This Row],[Rebate kW Savings]]*Table1323[[#This Row],[Annual hours from space type]],0)</f>
        <v>0</v>
      </c>
      <c r="V5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51" s="213">
        <f>Table1323[[#This Row],[Rebate kWh savings]]+Table1323[[#This Row],[Controls Rebate kWh Savings]]</f>
        <v>0</v>
      </c>
      <c r="X51" s="214" t="str">
        <f>IFERROR(IF(Table1323[[#This Row],[Quantity of luminaires or lamps]]="","",Table1323[[#This Row],[Rebate kW Savings]]),0)</f>
        <v/>
      </c>
      <c r="Y51" s="215" t="str">
        <f>IFERROR(IF(Table1323[[#This Row],[Quantity of luminaires or lamps]]="","",Table1323[[#This Row],[Total Lighting Rebate Energy Savings]]),0)</f>
        <v/>
      </c>
      <c r="Z51" s="207"/>
      <c r="AA51" s="18" t="str">
        <f>IF(Table1323[[#This Row],[Selected for Implementation]]="Yes",IF(Table1323[[#This Row],[No]]="","",(CONCATENATE("Light_"&amp;Table1323[[#This Row],[Rebate Category]]&amp;Table1323[[#This Row],[LED lamp/luminaire retrofit part '#]]))),"")</f>
        <v/>
      </c>
      <c r="AB51" s="20" t="str" cm="1">
        <f t="array" ref="AB51">IFERROR(IF(Table1323[[#This Row],[Annual hours from space type]]&gt;=Table14[],Table1323[[#This Row],[Demand Savings, kW]],0),0)</f>
        <v/>
      </c>
      <c r="AC51" s="19" t="str">
        <f>IFERROR(INDEX(Table1[BC Hydro xRM ECM],MATCH(Table1323[[#This Row],[Rebate Category]],Table1[BC Hydro Rebate Category],0)),"")</f>
        <v/>
      </c>
      <c r="AD51" s="18">
        <f>IF(Table1323[[#This Row],[Selected for Implementation]]="Yes",1,0)</f>
        <v>0</v>
      </c>
      <c r="AE51" s="18" t="e">
        <f>Table1323[[#This Row],[Implement]]*Table1323[[#This Row],[Demand Savings, kW]]</f>
        <v>#VALUE!</v>
      </c>
      <c r="AF51" s="18" t="e">
        <f>Table1323[[#This Row],[Implement]]*Table1323[[#This Row],[BCH Peak kW]]</f>
        <v>#VALUE!</v>
      </c>
      <c r="AG51" s="18">
        <f>Table1323[[#This Row],[Implement]]*Table1323[[#This Row],[Rebate kWh savings]]</f>
        <v>0</v>
      </c>
      <c r="AH51" s="18">
        <f>Table1323[[#This Row],[Implement]]*Table1323[[#This Row],[Controls Rebate kWh Savings]]</f>
        <v>0</v>
      </c>
      <c r="AI51" s="233">
        <f>Table1323[[#This Row],[Implement]]*Table1323[[#This Row],[Controls Rebate]]</f>
        <v>0</v>
      </c>
      <c r="AJ51" s="569">
        <f>IF(Table1323[[#This Row],[iControls Incentives]]&gt;0,Table1323[[#This Row],[Number of  sensors]],0)</f>
        <v>0</v>
      </c>
      <c r="AK51" s="233">
        <f>Table1323[[#This Row],[Implement]]*Table1323[[#This Row],[Lighting Rebate]]</f>
        <v>0</v>
      </c>
    </row>
    <row r="52" spans="2:37" ht="32.15" customHeight="1" x14ac:dyDescent="0.3">
      <c r="B52" s="17" t="str">
        <f>IF(Table1323[[#This Row],[Space Type]]="","","L-"&amp;ROW(46:46))</f>
        <v/>
      </c>
      <c r="C52" s="206"/>
      <c r="D52" s="207"/>
      <c r="E52" s="207"/>
      <c r="F52" s="207"/>
      <c r="G52" s="208" t="str">
        <f>IFERROR(IF(Table1323[[#This Row],[No]]="","",IF(Table1323[[#This Row],[Space Type]]="","select Space Type",INDEX(Table5[Hours],MATCH(Table1323[[#This Row],[Space Type]],Table5[Space Type],0)))),"")</f>
        <v/>
      </c>
      <c r="H52" s="207"/>
      <c r="I52" s="207"/>
      <c r="J52" s="613" t="str">
        <f>IFERROR(INDEX(Table1[Integrated Controls Capable],MATCH(Table1323[[#This Row],[Rebate Category]],Table1[BC Hydro Rebate Category],0)),"")</f>
        <v/>
      </c>
      <c r="K52" s="207"/>
      <c r="L52" s="572" t="str" cm="1">
        <f t="array" ref="L52">IFERROR(INDEX(Table1[Rebate],MATCH(Table1323[[#This Row],[Rebate Category]],Table1[BC Hydro Rebate Category],0))+IF(AND(Table1323[[#This Row],[Integrated Controls Capable]],Table1323[[#This Row],[Fixture Integrated Occupancy/Daylight Harvesting Sensors?]]="Yes"),Table6[],0),"")</f>
        <v/>
      </c>
      <c r="M52" s="574" t="str">
        <f>IFERROR(IF(AND(Table1323[[#This Row],[Integrated Controls Capable]],Table1323[[#This Row],[Fixture Integrated Occupancy/Daylight Harvesting Sensors?]]="Yes"),"per integrated luminaire", INDEX(Table1[Rebate Unit],MATCH(Table1323[[#This Row],[Rebate Category]],Table1[BC Hydro Rebate Category],0))),"")</f>
        <v/>
      </c>
      <c r="N52" s="207"/>
      <c r="O52" s="207"/>
      <c r="P52" s="206"/>
      <c r="Q52" s="209">
        <f>IFERROR(Table1323[[#This Row],[Rebate per luminaire, ($)]]*Table1323[[#This Row],[Quantity of luminaires or lamps]],0)</f>
        <v>0</v>
      </c>
      <c r="R5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52" s="211" t="str">
        <f>IFERROR(IF(Table1323[[#This Row],[Quantity of luminaires or lamps]]="","",IF(Table1323[[#This Row],[Controls Rebate]]="",0,Table1323[[#This Row],[Controls Rebate]])+Table1323[[#This Row],[Lighting Rebate]]),"")</f>
        <v/>
      </c>
      <c r="T5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52" s="213">
        <f>IFERROR(Table1323[[#This Row],[Rebate kW Savings]]*Table1323[[#This Row],[Annual hours from space type]],0)</f>
        <v>0</v>
      </c>
      <c r="V5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52" s="213">
        <f>Table1323[[#This Row],[Rebate kWh savings]]+Table1323[[#This Row],[Controls Rebate kWh Savings]]</f>
        <v>0</v>
      </c>
      <c r="X52" s="214" t="str">
        <f>IFERROR(IF(Table1323[[#This Row],[Quantity of luminaires or lamps]]="","",Table1323[[#This Row],[Rebate kW Savings]]),0)</f>
        <v/>
      </c>
      <c r="Y52" s="215" t="str">
        <f>IFERROR(IF(Table1323[[#This Row],[Quantity of luminaires or lamps]]="","",Table1323[[#This Row],[Total Lighting Rebate Energy Savings]]),0)</f>
        <v/>
      </c>
      <c r="Z52" s="207"/>
      <c r="AA52" s="18" t="str">
        <f>IF(Table1323[[#This Row],[Selected for Implementation]]="Yes",IF(Table1323[[#This Row],[No]]="","",(CONCATENATE("Light_"&amp;Table1323[[#This Row],[Rebate Category]]&amp;Table1323[[#This Row],[LED lamp/luminaire retrofit part '#]]))),"")</f>
        <v/>
      </c>
      <c r="AB52" s="20" t="str" cm="1">
        <f t="array" ref="AB52">IFERROR(IF(Table1323[[#This Row],[Annual hours from space type]]&gt;=Table14[],Table1323[[#This Row],[Demand Savings, kW]],0),0)</f>
        <v/>
      </c>
      <c r="AC52" s="19" t="str">
        <f>IFERROR(INDEX(Table1[BC Hydro xRM ECM],MATCH(Table1323[[#This Row],[Rebate Category]],Table1[BC Hydro Rebate Category],0)),"")</f>
        <v/>
      </c>
      <c r="AD52" s="18">
        <f>IF(Table1323[[#This Row],[Selected for Implementation]]="Yes",1,0)</f>
        <v>0</v>
      </c>
      <c r="AE52" s="18" t="e">
        <f>Table1323[[#This Row],[Implement]]*Table1323[[#This Row],[Demand Savings, kW]]</f>
        <v>#VALUE!</v>
      </c>
      <c r="AF52" s="18" t="e">
        <f>Table1323[[#This Row],[Implement]]*Table1323[[#This Row],[BCH Peak kW]]</f>
        <v>#VALUE!</v>
      </c>
      <c r="AG52" s="18">
        <f>Table1323[[#This Row],[Implement]]*Table1323[[#This Row],[Rebate kWh savings]]</f>
        <v>0</v>
      </c>
      <c r="AH52" s="18">
        <f>Table1323[[#This Row],[Implement]]*Table1323[[#This Row],[Controls Rebate kWh Savings]]</f>
        <v>0</v>
      </c>
      <c r="AI52" s="233">
        <f>Table1323[[#This Row],[Implement]]*Table1323[[#This Row],[Controls Rebate]]</f>
        <v>0</v>
      </c>
      <c r="AJ52" s="569">
        <f>IF(Table1323[[#This Row],[iControls Incentives]]&gt;0,Table1323[[#This Row],[Number of  sensors]],0)</f>
        <v>0</v>
      </c>
      <c r="AK52" s="233">
        <f>Table1323[[#This Row],[Implement]]*Table1323[[#This Row],[Lighting Rebate]]</f>
        <v>0</v>
      </c>
    </row>
    <row r="53" spans="2:37" ht="32.15" customHeight="1" x14ac:dyDescent="0.3">
      <c r="B53" s="17" t="str">
        <f>IF(Table1323[[#This Row],[Space Type]]="","","L-"&amp;ROW(47:47))</f>
        <v/>
      </c>
      <c r="C53" s="206"/>
      <c r="D53" s="207"/>
      <c r="E53" s="207"/>
      <c r="F53" s="207"/>
      <c r="G53" s="208" t="str">
        <f>IFERROR(IF(Table1323[[#This Row],[No]]="","",IF(Table1323[[#This Row],[Space Type]]="","select Space Type",INDEX(Table5[Hours],MATCH(Table1323[[#This Row],[Space Type]],Table5[Space Type],0)))),"")</f>
        <v/>
      </c>
      <c r="H53" s="207"/>
      <c r="I53" s="207"/>
      <c r="J53" s="613" t="str">
        <f>IFERROR(INDEX(Table1[Integrated Controls Capable],MATCH(Table1323[[#This Row],[Rebate Category]],Table1[BC Hydro Rebate Category],0)),"")</f>
        <v/>
      </c>
      <c r="K53" s="207"/>
      <c r="L53" s="572" t="str" cm="1">
        <f t="array" ref="L53">IFERROR(INDEX(Table1[Rebate],MATCH(Table1323[[#This Row],[Rebate Category]],Table1[BC Hydro Rebate Category],0))+IF(AND(Table1323[[#This Row],[Integrated Controls Capable]],Table1323[[#This Row],[Fixture Integrated Occupancy/Daylight Harvesting Sensors?]]="Yes"),Table6[],0),"")</f>
        <v/>
      </c>
      <c r="M53" s="574" t="str">
        <f>IFERROR(IF(AND(Table1323[[#This Row],[Integrated Controls Capable]],Table1323[[#This Row],[Fixture Integrated Occupancy/Daylight Harvesting Sensors?]]="Yes"),"per integrated luminaire", INDEX(Table1[Rebate Unit],MATCH(Table1323[[#This Row],[Rebate Category]],Table1[BC Hydro Rebate Category],0))),"")</f>
        <v/>
      </c>
      <c r="N53" s="207"/>
      <c r="O53" s="207"/>
      <c r="P53" s="206"/>
      <c r="Q53" s="209">
        <f>IFERROR(Table1323[[#This Row],[Rebate per luminaire, ($)]]*Table1323[[#This Row],[Quantity of luminaires or lamps]],0)</f>
        <v>0</v>
      </c>
      <c r="R5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53" s="211" t="str">
        <f>IFERROR(IF(Table1323[[#This Row],[Quantity of luminaires or lamps]]="","",IF(Table1323[[#This Row],[Controls Rebate]]="",0,Table1323[[#This Row],[Controls Rebate]])+Table1323[[#This Row],[Lighting Rebate]]),"")</f>
        <v/>
      </c>
      <c r="T5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53" s="213">
        <f>IFERROR(Table1323[[#This Row],[Rebate kW Savings]]*Table1323[[#This Row],[Annual hours from space type]],0)</f>
        <v>0</v>
      </c>
      <c r="V5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53" s="213">
        <f>Table1323[[#This Row],[Rebate kWh savings]]+Table1323[[#This Row],[Controls Rebate kWh Savings]]</f>
        <v>0</v>
      </c>
      <c r="X53" s="214" t="str">
        <f>IFERROR(IF(Table1323[[#This Row],[Quantity of luminaires or lamps]]="","",Table1323[[#This Row],[Rebate kW Savings]]),0)</f>
        <v/>
      </c>
      <c r="Y53" s="215" t="str">
        <f>IFERROR(IF(Table1323[[#This Row],[Quantity of luminaires or lamps]]="","",Table1323[[#This Row],[Total Lighting Rebate Energy Savings]]),0)</f>
        <v/>
      </c>
      <c r="Z53" s="207"/>
      <c r="AA53" s="18" t="str">
        <f>IF(Table1323[[#This Row],[Selected for Implementation]]="Yes",IF(Table1323[[#This Row],[No]]="","",(CONCATENATE("Light_"&amp;Table1323[[#This Row],[Rebate Category]]&amp;Table1323[[#This Row],[LED lamp/luminaire retrofit part '#]]))),"")</f>
        <v/>
      </c>
      <c r="AB53" s="20" t="str" cm="1">
        <f t="array" ref="AB53">IFERROR(IF(Table1323[[#This Row],[Annual hours from space type]]&gt;=Table14[],Table1323[[#This Row],[Demand Savings, kW]],0),0)</f>
        <v/>
      </c>
      <c r="AC53" s="19" t="str">
        <f>IFERROR(INDEX(Table1[BC Hydro xRM ECM],MATCH(Table1323[[#This Row],[Rebate Category]],Table1[BC Hydro Rebate Category],0)),"")</f>
        <v/>
      </c>
      <c r="AD53" s="18">
        <f>IF(Table1323[[#This Row],[Selected for Implementation]]="Yes",1,0)</f>
        <v>0</v>
      </c>
      <c r="AE53" s="18" t="e">
        <f>Table1323[[#This Row],[Implement]]*Table1323[[#This Row],[Demand Savings, kW]]</f>
        <v>#VALUE!</v>
      </c>
      <c r="AF53" s="18" t="e">
        <f>Table1323[[#This Row],[Implement]]*Table1323[[#This Row],[BCH Peak kW]]</f>
        <v>#VALUE!</v>
      </c>
      <c r="AG53" s="18">
        <f>Table1323[[#This Row],[Implement]]*Table1323[[#This Row],[Rebate kWh savings]]</f>
        <v>0</v>
      </c>
      <c r="AH53" s="18">
        <f>Table1323[[#This Row],[Implement]]*Table1323[[#This Row],[Controls Rebate kWh Savings]]</f>
        <v>0</v>
      </c>
      <c r="AI53" s="233">
        <f>Table1323[[#This Row],[Implement]]*Table1323[[#This Row],[Controls Rebate]]</f>
        <v>0</v>
      </c>
      <c r="AJ53" s="569">
        <f>IF(Table1323[[#This Row],[iControls Incentives]]&gt;0,Table1323[[#This Row],[Number of  sensors]],0)</f>
        <v>0</v>
      </c>
      <c r="AK53" s="233">
        <f>Table1323[[#This Row],[Implement]]*Table1323[[#This Row],[Lighting Rebate]]</f>
        <v>0</v>
      </c>
    </row>
    <row r="54" spans="2:37" ht="32.15" customHeight="1" x14ac:dyDescent="0.3">
      <c r="B54" s="17" t="str">
        <f>IF(Table1323[[#This Row],[Space Type]]="","","L-"&amp;ROW(48:48))</f>
        <v/>
      </c>
      <c r="C54" s="206"/>
      <c r="D54" s="207"/>
      <c r="E54" s="207"/>
      <c r="F54" s="207"/>
      <c r="G54" s="208" t="str">
        <f>IFERROR(IF(Table1323[[#This Row],[No]]="","",IF(Table1323[[#This Row],[Space Type]]="","select Space Type",INDEX(Table5[Hours],MATCH(Table1323[[#This Row],[Space Type]],Table5[Space Type],0)))),"")</f>
        <v/>
      </c>
      <c r="H54" s="207"/>
      <c r="I54" s="207"/>
      <c r="J54" s="613" t="str">
        <f>IFERROR(INDEX(Table1[Integrated Controls Capable],MATCH(Table1323[[#This Row],[Rebate Category]],Table1[BC Hydro Rebate Category],0)),"")</f>
        <v/>
      </c>
      <c r="K54" s="207"/>
      <c r="L54" s="572" t="str" cm="1">
        <f t="array" ref="L54">IFERROR(INDEX(Table1[Rebate],MATCH(Table1323[[#This Row],[Rebate Category]],Table1[BC Hydro Rebate Category],0))+IF(AND(Table1323[[#This Row],[Integrated Controls Capable]],Table1323[[#This Row],[Fixture Integrated Occupancy/Daylight Harvesting Sensors?]]="Yes"),Table6[],0),"")</f>
        <v/>
      </c>
      <c r="M54" s="574" t="str">
        <f>IFERROR(IF(AND(Table1323[[#This Row],[Integrated Controls Capable]],Table1323[[#This Row],[Fixture Integrated Occupancy/Daylight Harvesting Sensors?]]="Yes"),"per integrated luminaire", INDEX(Table1[Rebate Unit],MATCH(Table1323[[#This Row],[Rebate Category]],Table1[BC Hydro Rebate Category],0))),"")</f>
        <v/>
      </c>
      <c r="N54" s="207"/>
      <c r="O54" s="207"/>
      <c r="P54" s="206"/>
      <c r="Q54" s="209">
        <f>IFERROR(Table1323[[#This Row],[Rebate per luminaire, ($)]]*Table1323[[#This Row],[Quantity of luminaires or lamps]],0)</f>
        <v>0</v>
      </c>
      <c r="R5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54" s="211" t="str">
        <f>IFERROR(IF(Table1323[[#This Row],[Quantity of luminaires or lamps]]="","",IF(Table1323[[#This Row],[Controls Rebate]]="",0,Table1323[[#This Row],[Controls Rebate]])+Table1323[[#This Row],[Lighting Rebate]]),"")</f>
        <v/>
      </c>
      <c r="T5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54" s="213">
        <f>IFERROR(Table1323[[#This Row],[Rebate kW Savings]]*Table1323[[#This Row],[Annual hours from space type]],0)</f>
        <v>0</v>
      </c>
      <c r="V5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54" s="213">
        <f>Table1323[[#This Row],[Rebate kWh savings]]+Table1323[[#This Row],[Controls Rebate kWh Savings]]</f>
        <v>0</v>
      </c>
      <c r="X54" s="214" t="str">
        <f>IFERROR(IF(Table1323[[#This Row],[Quantity of luminaires or lamps]]="","",Table1323[[#This Row],[Rebate kW Savings]]),0)</f>
        <v/>
      </c>
      <c r="Y54" s="215" t="str">
        <f>IFERROR(IF(Table1323[[#This Row],[Quantity of luminaires or lamps]]="","",Table1323[[#This Row],[Total Lighting Rebate Energy Savings]]),0)</f>
        <v/>
      </c>
      <c r="Z54" s="207"/>
      <c r="AA54" s="18" t="str">
        <f>IF(Table1323[[#This Row],[Selected for Implementation]]="Yes",IF(Table1323[[#This Row],[No]]="","",(CONCATENATE("Light_"&amp;Table1323[[#This Row],[Rebate Category]]&amp;Table1323[[#This Row],[LED lamp/luminaire retrofit part '#]]))),"")</f>
        <v/>
      </c>
      <c r="AB54" s="20" t="str" cm="1">
        <f t="array" ref="AB54">IFERROR(IF(Table1323[[#This Row],[Annual hours from space type]]&gt;=Table14[],Table1323[[#This Row],[Demand Savings, kW]],0),0)</f>
        <v/>
      </c>
      <c r="AC54" s="19" t="str">
        <f>IFERROR(INDEX(Table1[BC Hydro xRM ECM],MATCH(Table1323[[#This Row],[Rebate Category]],Table1[BC Hydro Rebate Category],0)),"")</f>
        <v/>
      </c>
      <c r="AD54" s="18">
        <f>IF(Table1323[[#This Row],[Selected for Implementation]]="Yes",1,0)</f>
        <v>0</v>
      </c>
      <c r="AE54" s="18" t="e">
        <f>Table1323[[#This Row],[Implement]]*Table1323[[#This Row],[Demand Savings, kW]]</f>
        <v>#VALUE!</v>
      </c>
      <c r="AF54" s="18" t="e">
        <f>Table1323[[#This Row],[Implement]]*Table1323[[#This Row],[BCH Peak kW]]</f>
        <v>#VALUE!</v>
      </c>
      <c r="AG54" s="18">
        <f>Table1323[[#This Row],[Implement]]*Table1323[[#This Row],[Rebate kWh savings]]</f>
        <v>0</v>
      </c>
      <c r="AH54" s="18">
        <f>Table1323[[#This Row],[Implement]]*Table1323[[#This Row],[Controls Rebate kWh Savings]]</f>
        <v>0</v>
      </c>
      <c r="AI54" s="233">
        <f>Table1323[[#This Row],[Implement]]*Table1323[[#This Row],[Controls Rebate]]</f>
        <v>0</v>
      </c>
      <c r="AJ54" s="569">
        <f>IF(Table1323[[#This Row],[iControls Incentives]]&gt;0,Table1323[[#This Row],[Number of  sensors]],0)</f>
        <v>0</v>
      </c>
      <c r="AK54" s="233">
        <f>Table1323[[#This Row],[Implement]]*Table1323[[#This Row],[Lighting Rebate]]</f>
        <v>0</v>
      </c>
    </row>
    <row r="55" spans="2:37" ht="32.15" customHeight="1" x14ac:dyDescent="0.3">
      <c r="B55" s="17" t="str">
        <f>IF(Table1323[[#This Row],[Space Type]]="","","L-"&amp;ROW(49:49))</f>
        <v/>
      </c>
      <c r="C55" s="206"/>
      <c r="D55" s="207"/>
      <c r="E55" s="207"/>
      <c r="F55" s="207"/>
      <c r="G55" s="208" t="str">
        <f>IFERROR(IF(Table1323[[#This Row],[No]]="","",IF(Table1323[[#This Row],[Space Type]]="","select Space Type",INDEX(Table5[Hours],MATCH(Table1323[[#This Row],[Space Type]],Table5[Space Type],0)))),"")</f>
        <v/>
      </c>
      <c r="H55" s="207"/>
      <c r="I55" s="207"/>
      <c r="J55" s="613" t="str">
        <f>IFERROR(INDEX(Table1[Integrated Controls Capable],MATCH(Table1323[[#This Row],[Rebate Category]],Table1[BC Hydro Rebate Category],0)),"")</f>
        <v/>
      </c>
      <c r="K55" s="207"/>
      <c r="L55" s="572" t="str" cm="1">
        <f t="array" ref="L55">IFERROR(INDEX(Table1[Rebate],MATCH(Table1323[[#This Row],[Rebate Category]],Table1[BC Hydro Rebate Category],0))+IF(AND(Table1323[[#This Row],[Integrated Controls Capable]],Table1323[[#This Row],[Fixture Integrated Occupancy/Daylight Harvesting Sensors?]]="Yes"),Table6[],0),"")</f>
        <v/>
      </c>
      <c r="M55" s="574" t="str">
        <f>IFERROR(IF(AND(Table1323[[#This Row],[Integrated Controls Capable]],Table1323[[#This Row],[Fixture Integrated Occupancy/Daylight Harvesting Sensors?]]="Yes"),"per integrated luminaire", INDEX(Table1[Rebate Unit],MATCH(Table1323[[#This Row],[Rebate Category]],Table1[BC Hydro Rebate Category],0))),"")</f>
        <v/>
      </c>
      <c r="N55" s="207"/>
      <c r="O55" s="207"/>
      <c r="P55" s="206"/>
      <c r="Q55" s="209">
        <f>IFERROR(Table1323[[#This Row],[Rebate per luminaire, ($)]]*Table1323[[#This Row],[Quantity of luminaires or lamps]],0)</f>
        <v>0</v>
      </c>
      <c r="R5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55" s="211" t="str">
        <f>IFERROR(IF(Table1323[[#This Row],[Quantity of luminaires or lamps]]="","",IF(Table1323[[#This Row],[Controls Rebate]]="",0,Table1323[[#This Row],[Controls Rebate]])+Table1323[[#This Row],[Lighting Rebate]]),"")</f>
        <v/>
      </c>
      <c r="T5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55" s="213">
        <f>IFERROR(Table1323[[#This Row],[Rebate kW Savings]]*Table1323[[#This Row],[Annual hours from space type]],0)</f>
        <v>0</v>
      </c>
      <c r="V5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55" s="213">
        <f>Table1323[[#This Row],[Rebate kWh savings]]+Table1323[[#This Row],[Controls Rebate kWh Savings]]</f>
        <v>0</v>
      </c>
      <c r="X55" s="214" t="str">
        <f>IFERROR(IF(Table1323[[#This Row],[Quantity of luminaires or lamps]]="","",Table1323[[#This Row],[Rebate kW Savings]]),0)</f>
        <v/>
      </c>
      <c r="Y55" s="215" t="str">
        <f>IFERROR(IF(Table1323[[#This Row],[Quantity of luminaires or lamps]]="","",Table1323[[#This Row],[Total Lighting Rebate Energy Savings]]),0)</f>
        <v/>
      </c>
      <c r="Z55" s="207"/>
      <c r="AA55" s="18" t="str">
        <f>IF(Table1323[[#This Row],[Selected for Implementation]]="Yes",IF(Table1323[[#This Row],[No]]="","",(CONCATENATE("Light_"&amp;Table1323[[#This Row],[Rebate Category]]&amp;Table1323[[#This Row],[LED lamp/luminaire retrofit part '#]]))),"")</f>
        <v/>
      </c>
      <c r="AB55" s="20" t="str" cm="1">
        <f t="array" ref="AB55">IFERROR(IF(Table1323[[#This Row],[Annual hours from space type]]&gt;=Table14[],Table1323[[#This Row],[Demand Savings, kW]],0),0)</f>
        <v/>
      </c>
      <c r="AC55" s="19" t="str">
        <f>IFERROR(INDEX(Table1[BC Hydro xRM ECM],MATCH(Table1323[[#This Row],[Rebate Category]],Table1[BC Hydro Rebate Category],0)),"")</f>
        <v/>
      </c>
      <c r="AD55" s="18">
        <f>IF(Table1323[[#This Row],[Selected for Implementation]]="Yes",1,0)</f>
        <v>0</v>
      </c>
      <c r="AE55" s="18" t="e">
        <f>Table1323[[#This Row],[Implement]]*Table1323[[#This Row],[Demand Savings, kW]]</f>
        <v>#VALUE!</v>
      </c>
      <c r="AF55" s="18" t="e">
        <f>Table1323[[#This Row],[Implement]]*Table1323[[#This Row],[BCH Peak kW]]</f>
        <v>#VALUE!</v>
      </c>
      <c r="AG55" s="18">
        <f>Table1323[[#This Row],[Implement]]*Table1323[[#This Row],[Rebate kWh savings]]</f>
        <v>0</v>
      </c>
      <c r="AH55" s="18">
        <f>Table1323[[#This Row],[Implement]]*Table1323[[#This Row],[Controls Rebate kWh Savings]]</f>
        <v>0</v>
      </c>
      <c r="AI55" s="233">
        <f>Table1323[[#This Row],[Implement]]*Table1323[[#This Row],[Controls Rebate]]</f>
        <v>0</v>
      </c>
      <c r="AJ55" s="569">
        <f>IF(Table1323[[#This Row],[iControls Incentives]]&gt;0,Table1323[[#This Row],[Number of  sensors]],0)</f>
        <v>0</v>
      </c>
      <c r="AK55" s="233">
        <f>Table1323[[#This Row],[Implement]]*Table1323[[#This Row],[Lighting Rebate]]</f>
        <v>0</v>
      </c>
    </row>
    <row r="56" spans="2:37" ht="32.15" customHeight="1" x14ac:dyDescent="0.3">
      <c r="B56" s="17" t="str">
        <f>IF(Table1323[[#This Row],[Space Type]]="","","L-"&amp;ROW(50:50))</f>
        <v/>
      </c>
      <c r="C56" s="206"/>
      <c r="D56" s="207"/>
      <c r="E56" s="207"/>
      <c r="F56" s="207"/>
      <c r="G56" s="208" t="str">
        <f>IFERROR(IF(Table1323[[#This Row],[No]]="","",IF(Table1323[[#This Row],[Space Type]]="","select Space Type",INDEX(Table5[Hours],MATCH(Table1323[[#This Row],[Space Type]],Table5[Space Type],0)))),"")</f>
        <v/>
      </c>
      <c r="H56" s="207"/>
      <c r="I56" s="207"/>
      <c r="J56" s="613" t="str">
        <f>IFERROR(INDEX(Table1[Integrated Controls Capable],MATCH(Table1323[[#This Row],[Rebate Category]],Table1[BC Hydro Rebate Category],0)),"")</f>
        <v/>
      </c>
      <c r="K56" s="207"/>
      <c r="L56" s="572" t="str" cm="1">
        <f t="array" ref="L56">IFERROR(INDEX(Table1[Rebate],MATCH(Table1323[[#This Row],[Rebate Category]],Table1[BC Hydro Rebate Category],0))+IF(AND(Table1323[[#This Row],[Integrated Controls Capable]],Table1323[[#This Row],[Fixture Integrated Occupancy/Daylight Harvesting Sensors?]]="Yes"),Table6[],0),"")</f>
        <v/>
      </c>
      <c r="M56" s="574" t="str">
        <f>IFERROR(IF(AND(Table1323[[#This Row],[Integrated Controls Capable]],Table1323[[#This Row],[Fixture Integrated Occupancy/Daylight Harvesting Sensors?]]="Yes"),"per integrated luminaire", INDEX(Table1[Rebate Unit],MATCH(Table1323[[#This Row],[Rebate Category]],Table1[BC Hydro Rebate Category],0))),"")</f>
        <v/>
      </c>
      <c r="N56" s="207"/>
      <c r="O56" s="207"/>
      <c r="P56" s="206"/>
      <c r="Q56" s="209">
        <f>IFERROR(Table1323[[#This Row],[Rebate per luminaire, ($)]]*Table1323[[#This Row],[Quantity of luminaires or lamps]],0)</f>
        <v>0</v>
      </c>
      <c r="R5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56" s="211" t="str">
        <f>IFERROR(IF(Table1323[[#This Row],[Quantity of luminaires or lamps]]="","",IF(Table1323[[#This Row],[Controls Rebate]]="",0,Table1323[[#This Row],[Controls Rebate]])+Table1323[[#This Row],[Lighting Rebate]]),"")</f>
        <v/>
      </c>
      <c r="T5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56" s="213">
        <f>IFERROR(Table1323[[#This Row],[Rebate kW Savings]]*Table1323[[#This Row],[Annual hours from space type]],0)</f>
        <v>0</v>
      </c>
      <c r="V5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56" s="213">
        <f>Table1323[[#This Row],[Rebate kWh savings]]+Table1323[[#This Row],[Controls Rebate kWh Savings]]</f>
        <v>0</v>
      </c>
      <c r="X56" s="214" t="str">
        <f>IFERROR(IF(Table1323[[#This Row],[Quantity of luminaires or lamps]]="","",Table1323[[#This Row],[Rebate kW Savings]]),0)</f>
        <v/>
      </c>
      <c r="Y56" s="215" t="str">
        <f>IFERROR(IF(Table1323[[#This Row],[Quantity of luminaires or lamps]]="","",Table1323[[#This Row],[Total Lighting Rebate Energy Savings]]),0)</f>
        <v/>
      </c>
      <c r="Z56" s="207"/>
      <c r="AA56" s="18" t="str">
        <f>IF(Table1323[[#This Row],[Selected for Implementation]]="Yes",IF(Table1323[[#This Row],[No]]="","",(CONCATENATE("Light_"&amp;Table1323[[#This Row],[Rebate Category]]&amp;Table1323[[#This Row],[LED lamp/luminaire retrofit part '#]]))),"")</f>
        <v/>
      </c>
      <c r="AB56" s="20" t="str" cm="1">
        <f t="array" ref="AB56">IFERROR(IF(Table1323[[#This Row],[Annual hours from space type]]&gt;=Table14[],Table1323[[#This Row],[Demand Savings, kW]],0),0)</f>
        <v/>
      </c>
      <c r="AC56" s="19" t="str">
        <f>IFERROR(INDEX(Table1[BC Hydro xRM ECM],MATCH(Table1323[[#This Row],[Rebate Category]],Table1[BC Hydro Rebate Category],0)),"")</f>
        <v/>
      </c>
      <c r="AD56" s="18">
        <f>IF(Table1323[[#This Row],[Selected for Implementation]]="Yes",1,0)</f>
        <v>0</v>
      </c>
      <c r="AE56" s="18" t="e">
        <f>Table1323[[#This Row],[Implement]]*Table1323[[#This Row],[Demand Savings, kW]]</f>
        <v>#VALUE!</v>
      </c>
      <c r="AF56" s="18" t="e">
        <f>Table1323[[#This Row],[Implement]]*Table1323[[#This Row],[BCH Peak kW]]</f>
        <v>#VALUE!</v>
      </c>
      <c r="AG56" s="18">
        <f>Table1323[[#This Row],[Implement]]*Table1323[[#This Row],[Rebate kWh savings]]</f>
        <v>0</v>
      </c>
      <c r="AH56" s="18">
        <f>Table1323[[#This Row],[Implement]]*Table1323[[#This Row],[Controls Rebate kWh Savings]]</f>
        <v>0</v>
      </c>
      <c r="AI56" s="233">
        <f>Table1323[[#This Row],[Implement]]*Table1323[[#This Row],[Controls Rebate]]</f>
        <v>0</v>
      </c>
      <c r="AJ56" s="569">
        <f>IF(Table1323[[#This Row],[iControls Incentives]]&gt;0,Table1323[[#This Row],[Number of  sensors]],0)</f>
        <v>0</v>
      </c>
      <c r="AK56" s="233">
        <f>Table1323[[#This Row],[Implement]]*Table1323[[#This Row],[Lighting Rebate]]</f>
        <v>0</v>
      </c>
    </row>
    <row r="57" spans="2:37" ht="32.15" customHeight="1" x14ac:dyDescent="0.3">
      <c r="B57" s="17" t="str">
        <f>IF(Table1323[[#This Row],[Space Type]]="","","L-"&amp;ROW(51:51))</f>
        <v/>
      </c>
      <c r="C57" s="206"/>
      <c r="D57" s="207"/>
      <c r="E57" s="207"/>
      <c r="F57" s="207"/>
      <c r="G57" s="208" t="str">
        <f>IFERROR(IF(Table1323[[#This Row],[No]]="","",IF(Table1323[[#This Row],[Space Type]]="","select Space Type",INDEX(Table5[Hours],MATCH(Table1323[[#This Row],[Space Type]],Table5[Space Type],0)))),"")</f>
        <v/>
      </c>
      <c r="H57" s="207"/>
      <c r="I57" s="207"/>
      <c r="J57" s="613" t="str">
        <f>IFERROR(INDEX(Table1[Integrated Controls Capable],MATCH(Table1323[[#This Row],[Rebate Category]],Table1[BC Hydro Rebate Category],0)),"")</f>
        <v/>
      </c>
      <c r="K57" s="207"/>
      <c r="L57" s="572" t="str" cm="1">
        <f t="array" ref="L57">IFERROR(INDEX(Table1[Rebate],MATCH(Table1323[[#This Row],[Rebate Category]],Table1[BC Hydro Rebate Category],0))+IF(AND(Table1323[[#This Row],[Integrated Controls Capable]],Table1323[[#This Row],[Fixture Integrated Occupancy/Daylight Harvesting Sensors?]]="Yes"),Table6[],0),"")</f>
        <v/>
      </c>
      <c r="M57" s="574" t="str">
        <f>IFERROR(IF(AND(Table1323[[#This Row],[Integrated Controls Capable]],Table1323[[#This Row],[Fixture Integrated Occupancy/Daylight Harvesting Sensors?]]="Yes"),"per integrated luminaire", INDEX(Table1[Rebate Unit],MATCH(Table1323[[#This Row],[Rebate Category]],Table1[BC Hydro Rebate Category],0))),"")</f>
        <v/>
      </c>
      <c r="N57" s="207"/>
      <c r="O57" s="207"/>
      <c r="P57" s="206"/>
      <c r="Q57" s="209">
        <f>IFERROR(Table1323[[#This Row],[Rebate per luminaire, ($)]]*Table1323[[#This Row],[Quantity of luminaires or lamps]],0)</f>
        <v>0</v>
      </c>
      <c r="R5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57" s="211" t="str">
        <f>IFERROR(IF(Table1323[[#This Row],[Quantity of luminaires or lamps]]="","",IF(Table1323[[#This Row],[Controls Rebate]]="",0,Table1323[[#This Row],[Controls Rebate]])+Table1323[[#This Row],[Lighting Rebate]]),"")</f>
        <v/>
      </c>
      <c r="T5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57" s="213">
        <f>IFERROR(Table1323[[#This Row],[Rebate kW Savings]]*Table1323[[#This Row],[Annual hours from space type]],0)</f>
        <v>0</v>
      </c>
      <c r="V5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57" s="213">
        <f>Table1323[[#This Row],[Rebate kWh savings]]+Table1323[[#This Row],[Controls Rebate kWh Savings]]</f>
        <v>0</v>
      </c>
      <c r="X57" s="214" t="str">
        <f>IFERROR(IF(Table1323[[#This Row],[Quantity of luminaires or lamps]]="","",Table1323[[#This Row],[Rebate kW Savings]]),0)</f>
        <v/>
      </c>
      <c r="Y57" s="215" t="str">
        <f>IFERROR(IF(Table1323[[#This Row],[Quantity of luminaires or lamps]]="","",Table1323[[#This Row],[Total Lighting Rebate Energy Savings]]),0)</f>
        <v/>
      </c>
      <c r="Z57" s="207"/>
      <c r="AA57" s="18" t="str">
        <f>IF(Table1323[[#This Row],[Selected for Implementation]]="Yes",IF(Table1323[[#This Row],[No]]="","",(CONCATENATE("Light_"&amp;Table1323[[#This Row],[Rebate Category]]&amp;Table1323[[#This Row],[LED lamp/luminaire retrofit part '#]]))),"")</f>
        <v/>
      </c>
      <c r="AB57" s="20" t="str" cm="1">
        <f t="array" ref="AB57">IFERROR(IF(Table1323[[#This Row],[Annual hours from space type]]&gt;=Table14[],Table1323[[#This Row],[Demand Savings, kW]],0),0)</f>
        <v/>
      </c>
      <c r="AC57" s="19" t="str">
        <f>IFERROR(INDEX(Table1[BC Hydro xRM ECM],MATCH(Table1323[[#This Row],[Rebate Category]],Table1[BC Hydro Rebate Category],0)),"")</f>
        <v/>
      </c>
      <c r="AD57" s="18">
        <f>IF(Table1323[[#This Row],[Selected for Implementation]]="Yes",1,0)</f>
        <v>0</v>
      </c>
      <c r="AE57" s="18" t="e">
        <f>Table1323[[#This Row],[Implement]]*Table1323[[#This Row],[Demand Savings, kW]]</f>
        <v>#VALUE!</v>
      </c>
      <c r="AF57" s="18" t="e">
        <f>Table1323[[#This Row],[Implement]]*Table1323[[#This Row],[BCH Peak kW]]</f>
        <v>#VALUE!</v>
      </c>
      <c r="AG57" s="18">
        <f>Table1323[[#This Row],[Implement]]*Table1323[[#This Row],[Rebate kWh savings]]</f>
        <v>0</v>
      </c>
      <c r="AH57" s="18">
        <f>Table1323[[#This Row],[Implement]]*Table1323[[#This Row],[Controls Rebate kWh Savings]]</f>
        <v>0</v>
      </c>
      <c r="AI57" s="233">
        <f>Table1323[[#This Row],[Implement]]*Table1323[[#This Row],[Controls Rebate]]</f>
        <v>0</v>
      </c>
      <c r="AJ57" s="569">
        <f>IF(Table1323[[#This Row],[iControls Incentives]]&gt;0,Table1323[[#This Row],[Number of  sensors]],0)</f>
        <v>0</v>
      </c>
      <c r="AK57" s="233">
        <f>Table1323[[#This Row],[Implement]]*Table1323[[#This Row],[Lighting Rebate]]</f>
        <v>0</v>
      </c>
    </row>
    <row r="58" spans="2:37" ht="32.15" customHeight="1" x14ac:dyDescent="0.3">
      <c r="B58" s="17" t="str">
        <f>IF(Table1323[[#This Row],[Space Type]]="","","L-"&amp;ROW(52:52))</f>
        <v/>
      </c>
      <c r="C58" s="206"/>
      <c r="D58" s="207"/>
      <c r="E58" s="207"/>
      <c r="F58" s="207"/>
      <c r="G58" s="208" t="str">
        <f>IFERROR(IF(Table1323[[#This Row],[No]]="","",IF(Table1323[[#This Row],[Space Type]]="","select Space Type",INDEX(Table5[Hours],MATCH(Table1323[[#This Row],[Space Type]],Table5[Space Type],0)))),"")</f>
        <v/>
      </c>
      <c r="H58" s="207"/>
      <c r="I58" s="207"/>
      <c r="J58" s="613" t="str">
        <f>IFERROR(INDEX(Table1[Integrated Controls Capable],MATCH(Table1323[[#This Row],[Rebate Category]],Table1[BC Hydro Rebate Category],0)),"")</f>
        <v/>
      </c>
      <c r="K58" s="207"/>
      <c r="L58" s="572" t="str" cm="1">
        <f t="array" ref="L58">IFERROR(INDEX(Table1[Rebate],MATCH(Table1323[[#This Row],[Rebate Category]],Table1[BC Hydro Rebate Category],0))+IF(AND(Table1323[[#This Row],[Integrated Controls Capable]],Table1323[[#This Row],[Fixture Integrated Occupancy/Daylight Harvesting Sensors?]]="Yes"),Table6[],0),"")</f>
        <v/>
      </c>
      <c r="M58" s="574" t="str">
        <f>IFERROR(IF(AND(Table1323[[#This Row],[Integrated Controls Capable]],Table1323[[#This Row],[Fixture Integrated Occupancy/Daylight Harvesting Sensors?]]="Yes"),"per integrated luminaire", INDEX(Table1[Rebate Unit],MATCH(Table1323[[#This Row],[Rebate Category]],Table1[BC Hydro Rebate Category],0))),"")</f>
        <v/>
      </c>
      <c r="N58" s="207"/>
      <c r="O58" s="207"/>
      <c r="P58" s="206"/>
      <c r="Q58" s="209">
        <f>IFERROR(Table1323[[#This Row],[Rebate per luminaire, ($)]]*Table1323[[#This Row],[Quantity of luminaires or lamps]],0)</f>
        <v>0</v>
      </c>
      <c r="R5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58" s="211" t="str">
        <f>IFERROR(IF(Table1323[[#This Row],[Quantity of luminaires or lamps]]="","",IF(Table1323[[#This Row],[Controls Rebate]]="",0,Table1323[[#This Row],[Controls Rebate]])+Table1323[[#This Row],[Lighting Rebate]]),"")</f>
        <v/>
      </c>
      <c r="T5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58" s="213">
        <f>IFERROR(Table1323[[#This Row],[Rebate kW Savings]]*Table1323[[#This Row],[Annual hours from space type]],0)</f>
        <v>0</v>
      </c>
      <c r="V5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58" s="213">
        <f>Table1323[[#This Row],[Rebate kWh savings]]+Table1323[[#This Row],[Controls Rebate kWh Savings]]</f>
        <v>0</v>
      </c>
      <c r="X58" s="214" t="str">
        <f>IFERROR(IF(Table1323[[#This Row],[Quantity of luminaires or lamps]]="","",Table1323[[#This Row],[Rebate kW Savings]]),0)</f>
        <v/>
      </c>
      <c r="Y58" s="215" t="str">
        <f>IFERROR(IF(Table1323[[#This Row],[Quantity of luminaires or lamps]]="","",Table1323[[#This Row],[Total Lighting Rebate Energy Savings]]),0)</f>
        <v/>
      </c>
      <c r="Z58" s="207"/>
      <c r="AA58" s="18" t="str">
        <f>IF(Table1323[[#This Row],[Selected for Implementation]]="Yes",IF(Table1323[[#This Row],[No]]="","",(CONCATENATE("Light_"&amp;Table1323[[#This Row],[Rebate Category]]&amp;Table1323[[#This Row],[LED lamp/luminaire retrofit part '#]]))),"")</f>
        <v/>
      </c>
      <c r="AB58" s="20" t="str" cm="1">
        <f t="array" ref="AB58">IFERROR(IF(Table1323[[#This Row],[Annual hours from space type]]&gt;=Table14[],Table1323[[#This Row],[Demand Savings, kW]],0),0)</f>
        <v/>
      </c>
      <c r="AC58" s="19" t="str">
        <f>IFERROR(INDEX(Table1[BC Hydro xRM ECM],MATCH(Table1323[[#This Row],[Rebate Category]],Table1[BC Hydro Rebate Category],0)),"")</f>
        <v/>
      </c>
      <c r="AD58" s="18">
        <f>IF(Table1323[[#This Row],[Selected for Implementation]]="Yes",1,0)</f>
        <v>0</v>
      </c>
      <c r="AE58" s="18" t="e">
        <f>Table1323[[#This Row],[Implement]]*Table1323[[#This Row],[Demand Savings, kW]]</f>
        <v>#VALUE!</v>
      </c>
      <c r="AF58" s="18" t="e">
        <f>Table1323[[#This Row],[Implement]]*Table1323[[#This Row],[BCH Peak kW]]</f>
        <v>#VALUE!</v>
      </c>
      <c r="AG58" s="18">
        <f>Table1323[[#This Row],[Implement]]*Table1323[[#This Row],[Rebate kWh savings]]</f>
        <v>0</v>
      </c>
      <c r="AH58" s="18">
        <f>Table1323[[#This Row],[Implement]]*Table1323[[#This Row],[Controls Rebate kWh Savings]]</f>
        <v>0</v>
      </c>
      <c r="AI58" s="233">
        <f>Table1323[[#This Row],[Implement]]*Table1323[[#This Row],[Controls Rebate]]</f>
        <v>0</v>
      </c>
      <c r="AJ58" s="569">
        <f>IF(Table1323[[#This Row],[iControls Incentives]]&gt;0,Table1323[[#This Row],[Number of  sensors]],0)</f>
        <v>0</v>
      </c>
      <c r="AK58" s="233">
        <f>Table1323[[#This Row],[Implement]]*Table1323[[#This Row],[Lighting Rebate]]</f>
        <v>0</v>
      </c>
    </row>
    <row r="59" spans="2:37" ht="32.15" customHeight="1" x14ac:dyDescent="0.3">
      <c r="B59" s="17" t="str">
        <f>IF(Table1323[[#This Row],[Space Type]]="","","L-"&amp;ROW(53:53))</f>
        <v/>
      </c>
      <c r="C59" s="206"/>
      <c r="D59" s="207"/>
      <c r="E59" s="207"/>
      <c r="F59" s="207"/>
      <c r="G59" s="208" t="str">
        <f>IFERROR(IF(Table1323[[#This Row],[No]]="","",IF(Table1323[[#This Row],[Space Type]]="","select Space Type",INDEX(Table5[Hours],MATCH(Table1323[[#This Row],[Space Type]],Table5[Space Type],0)))),"")</f>
        <v/>
      </c>
      <c r="H59" s="207"/>
      <c r="I59" s="207"/>
      <c r="J59" s="613" t="str">
        <f>IFERROR(INDEX(Table1[Integrated Controls Capable],MATCH(Table1323[[#This Row],[Rebate Category]],Table1[BC Hydro Rebate Category],0)),"")</f>
        <v/>
      </c>
      <c r="K59" s="207"/>
      <c r="L59" s="572" t="str" cm="1">
        <f t="array" ref="L59">IFERROR(INDEX(Table1[Rebate],MATCH(Table1323[[#This Row],[Rebate Category]],Table1[BC Hydro Rebate Category],0))+IF(AND(Table1323[[#This Row],[Integrated Controls Capable]],Table1323[[#This Row],[Fixture Integrated Occupancy/Daylight Harvesting Sensors?]]="Yes"),Table6[],0),"")</f>
        <v/>
      </c>
      <c r="M59" s="574" t="str">
        <f>IFERROR(IF(AND(Table1323[[#This Row],[Integrated Controls Capable]],Table1323[[#This Row],[Fixture Integrated Occupancy/Daylight Harvesting Sensors?]]="Yes"),"per integrated luminaire", INDEX(Table1[Rebate Unit],MATCH(Table1323[[#This Row],[Rebate Category]],Table1[BC Hydro Rebate Category],0))),"")</f>
        <v/>
      </c>
      <c r="N59" s="207"/>
      <c r="O59" s="207"/>
      <c r="P59" s="206"/>
      <c r="Q59" s="209">
        <f>IFERROR(Table1323[[#This Row],[Rebate per luminaire, ($)]]*Table1323[[#This Row],[Quantity of luminaires or lamps]],0)</f>
        <v>0</v>
      </c>
      <c r="R5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59" s="211" t="str">
        <f>IFERROR(IF(Table1323[[#This Row],[Quantity of luminaires or lamps]]="","",IF(Table1323[[#This Row],[Controls Rebate]]="",0,Table1323[[#This Row],[Controls Rebate]])+Table1323[[#This Row],[Lighting Rebate]]),"")</f>
        <v/>
      </c>
      <c r="T5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59" s="213">
        <f>IFERROR(Table1323[[#This Row],[Rebate kW Savings]]*Table1323[[#This Row],[Annual hours from space type]],0)</f>
        <v>0</v>
      </c>
      <c r="V5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59" s="213">
        <f>Table1323[[#This Row],[Rebate kWh savings]]+Table1323[[#This Row],[Controls Rebate kWh Savings]]</f>
        <v>0</v>
      </c>
      <c r="X59" s="214" t="str">
        <f>IFERROR(IF(Table1323[[#This Row],[Quantity of luminaires or lamps]]="","",Table1323[[#This Row],[Rebate kW Savings]]),0)</f>
        <v/>
      </c>
      <c r="Y59" s="215" t="str">
        <f>IFERROR(IF(Table1323[[#This Row],[Quantity of luminaires or lamps]]="","",Table1323[[#This Row],[Total Lighting Rebate Energy Savings]]),0)</f>
        <v/>
      </c>
      <c r="Z59" s="207"/>
      <c r="AA59" s="18" t="str">
        <f>IF(Table1323[[#This Row],[Selected for Implementation]]="Yes",IF(Table1323[[#This Row],[No]]="","",(CONCATENATE("Light_"&amp;Table1323[[#This Row],[Rebate Category]]&amp;Table1323[[#This Row],[LED lamp/luminaire retrofit part '#]]))),"")</f>
        <v/>
      </c>
      <c r="AB59" s="20" t="str" cm="1">
        <f t="array" ref="AB59">IFERROR(IF(Table1323[[#This Row],[Annual hours from space type]]&gt;=Table14[],Table1323[[#This Row],[Demand Savings, kW]],0),0)</f>
        <v/>
      </c>
      <c r="AC59" s="19" t="str">
        <f>IFERROR(INDEX(Table1[BC Hydro xRM ECM],MATCH(Table1323[[#This Row],[Rebate Category]],Table1[BC Hydro Rebate Category],0)),"")</f>
        <v/>
      </c>
      <c r="AD59" s="18">
        <f>IF(Table1323[[#This Row],[Selected for Implementation]]="Yes",1,0)</f>
        <v>0</v>
      </c>
      <c r="AE59" s="18" t="e">
        <f>Table1323[[#This Row],[Implement]]*Table1323[[#This Row],[Demand Savings, kW]]</f>
        <v>#VALUE!</v>
      </c>
      <c r="AF59" s="18" t="e">
        <f>Table1323[[#This Row],[Implement]]*Table1323[[#This Row],[BCH Peak kW]]</f>
        <v>#VALUE!</v>
      </c>
      <c r="AG59" s="18">
        <f>Table1323[[#This Row],[Implement]]*Table1323[[#This Row],[Rebate kWh savings]]</f>
        <v>0</v>
      </c>
      <c r="AH59" s="18">
        <f>Table1323[[#This Row],[Implement]]*Table1323[[#This Row],[Controls Rebate kWh Savings]]</f>
        <v>0</v>
      </c>
      <c r="AI59" s="233">
        <f>Table1323[[#This Row],[Implement]]*Table1323[[#This Row],[Controls Rebate]]</f>
        <v>0</v>
      </c>
      <c r="AJ59" s="569">
        <f>IF(Table1323[[#This Row],[iControls Incentives]]&gt;0,Table1323[[#This Row],[Number of  sensors]],0)</f>
        <v>0</v>
      </c>
      <c r="AK59" s="233">
        <f>Table1323[[#This Row],[Implement]]*Table1323[[#This Row],[Lighting Rebate]]</f>
        <v>0</v>
      </c>
    </row>
    <row r="60" spans="2:37" ht="32.15" customHeight="1" x14ac:dyDescent="0.3">
      <c r="B60" s="17" t="str">
        <f>IF(Table1323[[#This Row],[Space Type]]="","","L-"&amp;ROW(54:54))</f>
        <v/>
      </c>
      <c r="C60" s="206"/>
      <c r="D60" s="207"/>
      <c r="E60" s="207"/>
      <c r="F60" s="207"/>
      <c r="G60" s="208" t="str">
        <f>IFERROR(IF(Table1323[[#This Row],[No]]="","",IF(Table1323[[#This Row],[Space Type]]="","select Space Type",INDEX(Table5[Hours],MATCH(Table1323[[#This Row],[Space Type]],Table5[Space Type],0)))),"")</f>
        <v/>
      </c>
      <c r="H60" s="207"/>
      <c r="I60" s="207"/>
      <c r="J60" s="613" t="str">
        <f>IFERROR(INDEX(Table1[Integrated Controls Capable],MATCH(Table1323[[#This Row],[Rebate Category]],Table1[BC Hydro Rebate Category],0)),"")</f>
        <v/>
      </c>
      <c r="K60" s="207"/>
      <c r="L60" s="572" t="str" cm="1">
        <f t="array" ref="L60">IFERROR(INDEX(Table1[Rebate],MATCH(Table1323[[#This Row],[Rebate Category]],Table1[BC Hydro Rebate Category],0))+IF(AND(Table1323[[#This Row],[Integrated Controls Capable]],Table1323[[#This Row],[Fixture Integrated Occupancy/Daylight Harvesting Sensors?]]="Yes"),Table6[],0),"")</f>
        <v/>
      </c>
      <c r="M60" s="574" t="str">
        <f>IFERROR(IF(AND(Table1323[[#This Row],[Integrated Controls Capable]],Table1323[[#This Row],[Fixture Integrated Occupancy/Daylight Harvesting Sensors?]]="Yes"),"per integrated luminaire", INDEX(Table1[Rebate Unit],MATCH(Table1323[[#This Row],[Rebate Category]],Table1[BC Hydro Rebate Category],0))),"")</f>
        <v/>
      </c>
      <c r="N60" s="207"/>
      <c r="O60" s="207"/>
      <c r="P60" s="206"/>
      <c r="Q60" s="209">
        <f>IFERROR(Table1323[[#This Row],[Rebate per luminaire, ($)]]*Table1323[[#This Row],[Quantity of luminaires or lamps]],0)</f>
        <v>0</v>
      </c>
      <c r="R6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60" s="211" t="str">
        <f>IFERROR(IF(Table1323[[#This Row],[Quantity of luminaires or lamps]]="","",IF(Table1323[[#This Row],[Controls Rebate]]="",0,Table1323[[#This Row],[Controls Rebate]])+Table1323[[#This Row],[Lighting Rebate]]),"")</f>
        <v/>
      </c>
      <c r="T6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60" s="213">
        <f>IFERROR(Table1323[[#This Row],[Rebate kW Savings]]*Table1323[[#This Row],[Annual hours from space type]],0)</f>
        <v>0</v>
      </c>
      <c r="V6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60" s="213">
        <f>Table1323[[#This Row],[Rebate kWh savings]]+Table1323[[#This Row],[Controls Rebate kWh Savings]]</f>
        <v>0</v>
      </c>
      <c r="X60" s="214" t="str">
        <f>IFERROR(IF(Table1323[[#This Row],[Quantity of luminaires or lamps]]="","",Table1323[[#This Row],[Rebate kW Savings]]),0)</f>
        <v/>
      </c>
      <c r="Y60" s="215" t="str">
        <f>IFERROR(IF(Table1323[[#This Row],[Quantity of luminaires or lamps]]="","",Table1323[[#This Row],[Total Lighting Rebate Energy Savings]]),0)</f>
        <v/>
      </c>
      <c r="Z60" s="207"/>
      <c r="AA60" s="18" t="str">
        <f>IF(Table1323[[#This Row],[Selected for Implementation]]="Yes",IF(Table1323[[#This Row],[No]]="","",(CONCATENATE("Light_"&amp;Table1323[[#This Row],[Rebate Category]]&amp;Table1323[[#This Row],[LED lamp/luminaire retrofit part '#]]))),"")</f>
        <v/>
      </c>
      <c r="AB60" s="20" t="str" cm="1">
        <f t="array" ref="AB60">IFERROR(IF(Table1323[[#This Row],[Annual hours from space type]]&gt;=Table14[],Table1323[[#This Row],[Demand Savings, kW]],0),0)</f>
        <v/>
      </c>
      <c r="AC60" s="19" t="str">
        <f>IFERROR(INDEX(Table1[BC Hydro xRM ECM],MATCH(Table1323[[#This Row],[Rebate Category]],Table1[BC Hydro Rebate Category],0)),"")</f>
        <v/>
      </c>
      <c r="AD60" s="18">
        <f>IF(Table1323[[#This Row],[Selected for Implementation]]="Yes",1,0)</f>
        <v>0</v>
      </c>
      <c r="AE60" s="18" t="e">
        <f>Table1323[[#This Row],[Implement]]*Table1323[[#This Row],[Demand Savings, kW]]</f>
        <v>#VALUE!</v>
      </c>
      <c r="AF60" s="18" t="e">
        <f>Table1323[[#This Row],[Implement]]*Table1323[[#This Row],[BCH Peak kW]]</f>
        <v>#VALUE!</v>
      </c>
      <c r="AG60" s="18">
        <f>Table1323[[#This Row],[Implement]]*Table1323[[#This Row],[Rebate kWh savings]]</f>
        <v>0</v>
      </c>
      <c r="AH60" s="18">
        <f>Table1323[[#This Row],[Implement]]*Table1323[[#This Row],[Controls Rebate kWh Savings]]</f>
        <v>0</v>
      </c>
      <c r="AI60" s="233">
        <f>Table1323[[#This Row],[Implement]]*Table1323[[#This Row],[Controls Rebate]]</f>
        <v>0</v>
      </c>
      <c r="AJ60" s="569">
        <f>IF(Table1323[[#This Row],[iControls Incentives]]&gt;0,Table1323[[#This Row],[Number of  sensors]],0)</f>
        <v>0</v>
      </c>
      <c r="AK60" s="233">
        <f>Table1323[[#This Row],[Implement]]*Table1323[[#This Row],[Lighting Rebate]]</f>
        <v>0</v>
      </c>
    </row>
    <row r="61" spans="2:37" ht="32.15" customHeight="1" x14ac:dyDescent="0.3">
      <c r="B61" s="17" t="str">
        <f>IF(Table1323[[#This Row],[Space Type]]="","","L-"&amp;ROW(55:55))</f>
        <v/>
      </c>
      <c r="C61" s="206"/>
      <c r="D61" s="207"/>
      <c r="E61" s="207"/>
      <c r="F61" s="207"/>
      <c r="G61" s="208" t="str">
        <f>IFERROR(IF(Table1323[[#This Row],[No]]="","",IF(Table1323[[#This Row],[Space Type]]="","select Space Type",INDEX(Table5[Hours],MATCH(Table1323[[#This Row],[Space Type]],Table5[Space Type],0)))),"")</f>
        <v/>
      </c>
      <c r="H61" s="207"/>
      <c r="I61" s="207"/>
      <c r="J61" s="613" t="str">
        <f>IFERROR(INDEX(Table1[Integrated Controls Capable],MATCH(Table1323[[#This Row],[Rebate Category]],Table1[BC Hydro Rebate Category],0)),"")</f>
        <v/>
      </c>
      <c r="K61" s="207"/>
      <c r="L61" s="572" t="str" cm="1">
        <f t="array" ref="L61">IFERROR(INDEX(Table1[Rebate],MATCH(Table1323[[#This Row],[Rebate Category]],Table1[BC Hydro Rebate Category],0))+IF(AND(Table1323[[#This Row],[Integrated Controls Capable]],Table1323[[#This Row],[Fixture Integrated Occupancy/Daylight Harvesting Sensors?]]="Yes"),Table6[],0),"")</f>
        <v/>
      </c>
      <c r="M61" s="574" t="str">
        <f>IFERROR(IF(AND(Table1323[[#This Row],[Integrated Controls Capable]],Table1323[[#This Row],[Fixture Integrated Occupancy/Daylight Harvesting Sensors?]]="Yes"),"per integrated luminaire", INDEX(Table1[Rebate Unit],MATCH(Table1323[[#This Row],[Rebate Category]],Table1[BC Hydro Rebate Category],0))),"")</f>
        <v/>
      </c>
      <c r="N61" s="207"/>
      <c r="O61" s="207"/>
      <c r="P61" s="206"/>
      <c r="Q61" s="209">
        <f>IFERROR(Table1323[[#This Row],[Rebate per luminaire, ($)]]*Table1323[[#This Row],[Quantity of luminaires or lamps]],0)</f>
        <v>0</v>
      </c>
      <c r="R6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61" s="211" t="str">
        <f>IFERROR(IF(Table1323[[#This Row],[Quantity of luminaires or lamps]]="","",IF(Table1323[[#This Row],[Controls Rebate]]="",0,Table1323[[#This Row],[Controls Rebate]])+Table1323[[#This Row],[Lighting Rebate]]),"")</f>
        <v/>
      </c>
      <c r="T6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61" s="213">
        <f>IFERROR(Table1323[[#This Row],[Rebate kW Savings]]*Table1323[[#This Row],[Annual hours from space type]],0)</f>
        <v>0</v>
      </c>
      <c r="V6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61" s="213">
        <f>Table1323[[#This Row],[Rebate kWh savings]]+Table1323[[#This Row],[Controls Rebate kWh Savings]]</f>
        <v>0</v>
      </c>
      <c r="X61" s="214" t="str">
        <f>IFERROR(IF(Table1323[[#This Row],[Quantity of luminaires or lamps]]="","",Table1323[[#This Row],[Rebate kW Savings]]),0)</f>
        <v/>
      </c>
      <c r="Y61" s="215" t="str">
        <f>IFERROR(IF(Table1323[[#This Row],[Quantity of luminaires or lamps]]="","",Table1323[[#This Row],[Total Lighting Rebate Energy Savings]]),0)</f>
        <v/>
      </c>
      <c r="Z61" s="207"/>
      <c r="AA61" s="18" t="str">
        <f>IF(Table1323[[#This Row],[Selected for Implementation]]="Yes",IF(Table1323[[#This Row],[No]]="","",(CONCATENATE("Light_"&amp;Table1323[[#This Row],[Rebate Category]]&amp;Table1323[[#This Row],[LED lamp/luminaire retrofit part '#]]))),"")</f>
        <v/>
      </c>
      <c r="AB61" s="20" t="str" cm="1">
        <f t="array" ref="AB61">IFERROR(IF(Table1323[[#This Row],[Annual hours from space type]]&gt;=Table14[],Table1323[[#This Row],[Demand Savings, kW]],0),0)</f>
        <v/>
      </c>
      <c r="AC61" s="19" t="str">
        <f>IFERROR(INDEX(Table1[BC Hydro xRM ECM],MATCH(Table1323[[#This Row],[Rebate Category]],Table1[BC Hydro Rebate Category],0)),"")</f>
        <v/>
      </c>
      <c r="AD61" s="18">
        <f>IF(Table1323[[#This Row],[Selected for Implementation]]="Yes",1,0)</f>
        <v>0</v>
      </c>
      <c r="AE61" s="18" t="e">
        <f>Table1323[[#This Row],[Implement]]*Table1323[[#This Row],[Demand Savings, kW]]</f>
        <v>#VALUE!</v>
      </c>
      <c r="AF61" s="18" t="e">
        <f>Table1323[[#This Row],[Implement]]*Table1323[[#This Row],[BCH Peak kW]]</f>
        <v>#VALUE!</v>
      </c>
      <c r="AG61" s="18">
        <f>Table1323[[#This Row],[Implement]]*Table1323[[#This Row],[Rebate kWh savings]]</f>
        <v>0</v>
      </c>
      <c r="AH61" s="18">
        <f>Table1323[[#This Row],[Implement]]*Table1323[[#This Row],[Controls Rebate kWh Savings]]</f>
        <v>0</v>
      </c>
      <c r="AI61" s="233">
        <f>Table1323[[#This Row],[Implement]]*Table1323[[#This Row],[Controls Rebate]]</f>
        <v>0</v>
      </c>
      <c r="AJ61" s="569">
        <f>IF(Table1323[[#This Row],[iControls Incentives]]&gt;0,Table1323[[#This Row],[Number of  sensors]],0)</f>
        <v>0</v>
      </c>
      <c r="AK61" s="233">
        <f>Table1323[[#This Row],[Implement]]*Table1323[[#This Row],[Lighting Rebate]]</f>
        <v>0</v>
      </c>
    </row>
    <row r="62" spans="2:37" ht="32.15" customHeight="1" x14ac:dyDescent="0.3">
      <c r="B62" s="17" t="str">
        <f>IF(Table1323[[#This Row],[Space Type]]="","","L-"&amp;ROW(56:56))</f>
        <v/>
      </c>
      <c r="C62" s="206"/>
      <c r="D62" s="207"/>
      <c r="E62" s="207"/>
      <c r="F62" s="207"/>
      <c r="G62" s="208" t="str">
        <f>IFERROR(IF(Table1323[[#This Row],[No]]="","",IF(Table1323[[#This Row],[Space Type]]="","select Space Type",INDEX(Table5[Hours],MATCH(Table1323[[#This Row],[Space Type]],Table5[Space Type],0)))),"")</f>
        <v/>
      </c>
      <c r="H62" s="207"/>
      <c r="I62" s="207"/>
      <c r="J62" s="613" t="str">
        <f>IFERROR(INDEX(Table1[Integrated Controls Capable],MATCH(Table1323[[#This Row],[Rebate Category]],Table1[BC Hydro Rebate Category],0)),"")</f>
        <v/>
      </c>
      <c r="K62" s="207"/>
      <c r="L62" s="572" t="str" cm="1">
        <f t="array" ref="L62">IFERROR(INDEX(Table1[Rebate],MATCH(Table1323[[#This Row],[Rebate Category]],Table1[BC Hydro Rebate Category],0))+IF(AND(Table1323[[#This Row],[Integrated Controls Capable]],Table1323[[#This Row],[Fixture Integrated Occupancy/Daylight Harvesting Sensors?]]="Yes"),Table6[],0),"")</f>
        <v/>
      </c>
      <c r="M62" s="574" t="str">
        <f>IFERROR(IF(AND(Table1323[[#This Row],[Integrated Controls Capable]],Table1323[[#This Row],[Fixture Integrated Occupancy/Daylight Harvesting Sensors?]]="Yes"),"per integrated luminaire", INDEX(Table1[Rebate Unit],MATCH(Table1323[[#This Row],[Rebate Category]],Table1[BC Hydro Rebate Category],0))),"")</f>
        <v/>
      </c>
      <c r="N62" s="207"/>
      <c r="O62" s="207"/>
      <c r="P62" s="206"/>
      <c r="Q62" s="209">
        <f>IFERROR(Table1323[[#This Row],[Rebate per luminaire, ($)]]*Table1323[[#This Row],[Quantity of luminaires or lamps]],0)</f>
        <v>0</v>
      </c>
      <c r="R6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62" s="211" t="str">
        <f>IFERROR(IF(Table1323[[#This Row],[Quantity of luminaires or lamps]]="","",IF(Table1323[[#This Row],[Controls Rebate]]="",0,Table1323[[#This Row],[Controls Rebate]])+Table1323[[#This Row],[Lighting Rebate]]),"")</f>
        <v/>
      </c>
      <c r="T6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62" s="213">
        <f>IFERROR(Table1323[[#This Row],[Rebate kW Savings]]*Table1323[[#This Row],[Annual hours from space type]],0)</f>
        <v>0</v>
      </c>
      <c r="V6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62" s="213">
        <f>Table1323[[#This Row],[Rebate kWh savings]]+Table1323[[#This Row],[Controls Rebate kWh Savings]]</f>
        <v>0</v>
      </c>
      <c r="X62" s="214" t="str">
        <f>IFERROR(IF(Table1323[[#This Row],[Quantity of luminaires or lamps]]="","",Table1323[[#This Row],[Rebate kW Savings]]),0)</f>
        <v/>
      </c>
      <c r="Y62" s="215" t="str">
        <f>IFERROR(IF(Table1323[[#This Row],[Quantity of luminaires or lamps]]="","",Table1323[[#This Row],[Total Lighting Rebate Energy Savings]]),0)</f>
        <v/>
      </c>
      <c r="Z62" s="207"/>
      <c r="AA62" s="18" t="str">
        <f>IF(Table1323[[#This Row],[Selected for Implementation]]="Yes",IF(Table1323[[#This Row],[No]]="","",(CONCATENATE("Light_"&amp;Table1323[[#This Row],[Rebate Category]]&amp;Table1323[[#This Row],[LED lamp/luminaire retrofit part '#]]))),"")</f>
        <v/>
      </c>
      <c r="AB62" s="20" t="str" cm="1">
        <f t="array" ref="AB62">IFERROR(IF(Table1323[[#This Row],[Annual hours from space type]]&gt;=Table14[],Table1323[[#This Row],[Demand Savings, kW]],0),0)</f>
        <v/>
      </c>
      <c r="AC62" s="19" t="str">
        <f>IFERROR(INDEX(Table1[BC Hydro xRM ECM],MATCH(Table1323[[#This Row],[Rebate Category]],Table1[BC Hydro Rebate Category],0)),"")</f>
        <v/>
      </c>
      <c r="AD62" s="18">
        <f>IF(Table1323[[#This Row],[Selected for Implementation]]="Yes",1,0)</f>
        <v>0</v>
      </c>
      <c r="AE62" s="18" t="e">
        <f>Table1323[[#This Row],[Implement]]*Table1323[[#This Row],[Demand Savings, kW]]</f>
        <v>#VALUE!</v>
      </c>
      <c r="AF62" s="18" t="e">
        <f>Table1323[[#This Row],[Implement]]*Table1323[[#This Row],[BCH Peak kW]]</f>
        <v>#VALUE!</v>
      </c>
      <c r="AG62" s="18">
        <f>Table1323[[#This Row],[Implement]]*Table1323[[#This Row],[Rebate kWh savings]]</f>
        <v>0</v>
      </c>
      <c r="AH62" s="18">
        <f>Table1323[[#This Row],[Implement]]*Table1323[[#This Row],[Controls Rebate kWh Savings]]</f>
        <v>0</v>
      </c>
      <c r="AI62" s="233">
        <f>Table1323[[#This Row],[Implement]]*Table1323[[#This Row],[Controls Rebate]]</f>
        <v>0</v>
      </c>
      <c r="AJ62" s="569">
        <f>IF(Table1323[[#This Row],[iControls Incentives]]&gt;0,Table1323[[#This Row],[Number of  sensors]],0)</f>
        <v>0</v>
      </c>
      <c r="AK62" s="233">
        <f>Table1323[[#This Row],[Implement]]*Table1323[[#This Row],[Lighting Rebate]]</f>
        <v>0</v>
      </c>
    </row>
    <row r="63" spans="2:37" ht="32.15" customHeight="1" x14ac:dyDescent="0.3">
      <c r="B63" s="17" t="str">
        <f>IF(Table1323[[#This Row],[Space Type]]="","","L-"&amp;ROW(57:57))</f>
        <v/>
      </c>
      <c r="C63" s="206"/>
      <c r="D63" s="207"/>
      <c r="E63" s="207"/>
      <c r="F63" s="207"/>
      <c r="G63" s="208" t="str">
        <f>IFERROR(IF(Table1323[[#This Row],[No]]="","",IF(Table1323[[#This Row],[Space Type]]="","select Space Type",INDEX(Table5[Hours],MATCH(Table1323[[#This Row],[Space Type]],Table5[Space Type],0)))),"")</f>
        <v/>
      </c>
      <c r="H63" s="207"/>
      <c r="I63" s="207"/>
      <c r="J63" s="613" t="str">
        <f>IFERROR(INDEX(Table1[Integrated Controls Capable],MATCH(Table1323[[#This Row],[Rebate Category]],Table1[BC Hydro Rebate Category],0)),"")</f>
        <v/>
      </c>
      <c r="K63" s="207"/>
      <c r="L63" s="572" t="str" cm="1">
        <f t="array" ref="L63">IFERROR(INDEX(Table1[Rebate],MATCH(Table1323[[#This Row],[Rebate Category]],Table1[BC Hydro Rebate Category],0))+IF(AND(Table1323[[#This Row],[Integrated Controls Capable]],Table1323[[#This Row],[Fixture Integrated Occupancy/Daylight Harvesting Sensors?]]="Yes"),Table6[],0),"")</f>
        <v/>
      </c>
      <c r="M63" s="574" t="str">
        <f>IFERROR(IF(AND(Table1323[[#This Row],[Integrated Controls Capable]],Table1323[[#This Row],[Fixture Integrated Occupancy/Daylight Harvesting Sensors?]]="Yes"),"per integrated luminaire", INDEX(Table1[Rebate Unit],MATCH(Table1323[[#This Row],[Rebate Category]],Table1[BC Hydro Rebate Category],0))),"")</f>
        <v/>
      </c>
      <c r="N63" s="207"/>
      <c r="O63" s="207"/>
      <c r="P63" s="206"/>
      <c r="Q63" s="209">
        <f>IFERROR(Table1323[[#This Row],[Rebate per luminaire, ($)]]*Table1323[[#This Row],[Quantity of luminaires or lamps]],0)</f>
        <v>0</v>
      </c>
      <c r="R6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63" s="211" t="str">
        <f>IFERROR(IF(Table1323[[#This Row],[Quantity of luminaires or lamps]]="","",IF(Table1323[[#This Row],[Controls Rebate]]="",0,Table1323[[#This Row],[Controls Rebate]])+Table1323[[#This Row],[Lighting Rebate]]),"")</f>
        <v/>
      </c>
      <c r="T6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63" s="213">
        <f>IFERROR(Table1323[[#This Row],[Rebate kW Savings]]*Table1323[[#This Row],[Annual hours from space type]],0)</f>
        <v>0</v>
      </c>
      <c r="V6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63" s="213">
        <f>Table1323[[#This Row],[Rebate kWh savings]]+Table1323[[#This Row],[Controls Rebate kWh Savings]]</f>
        <v>0</v>
      </c>
      <c r="X63" s="214" t="str">
        <f>IFERROR(IF(Table1323[[#This Row],[Quantity of luminaires or lamps]]="","",Table1323[[#This Row],[Rebate kW Savings]]),0)</f>
        <v/>
      </c>
      <c r="Y63" s="215" t="str">
        <f>IFERROR(IF(Table1323[[#This Row],[Quantity of luminaires or lamps]]="","",Table1323[[#This Row],[Total Lighting Rebate Energy Savings]]),0)</f>
        <v/>
      </c>
      <c r="Z63" s="207"/>
      <c r="AA63" s="18" t="str">
        <f>IF(Table1323[[#This Row],[Selected for Implementation]]="Yes",IF(Table1323[[#This Row],[No]]="","",(CONCATENATE("Light_"&amp;Table1323[[#This Row],[Rebate Category]]&amp;Table1323[[#This Row],[LED lamp/luminaire retrofit part '#]]))),"")</f>
        <v/>
      </c>
      <c r="AB63" s="20" t="str" cm="1">
        <f t="array" ref="AB63">IFERROR(IF(Table1323[[#This Row],[Annual hours from space type]]&gt;=Table14[],Table1323[[#This Row],[Demand Savings, kW]],0),0)</f>
        <v/>
      </c>
      <c r="AC63" s="19" t="str">
        <f>IFERROR(INDEX(Table1[BC Hydro xRM ECM],MATCH(Table1323[[#This Row],[Rebate Category]],Table1[BC Hydro Rebate Category],0)),"")</f>
        <v/>
      </c>
      <c r="AD63" s="18">
        <f>IF(Table1323[[#This Row],[Selected for Implementation]]="Yes",1,0)</f>
        <v>0</v>
      </c>
      <c r="AE63" s="18" t="e">
        <f>Table1323[[#This Row],[Implement]]*Table1323[[#This Row],[Demand Savings, kW]]</f>
        <v>#VALUE!</v>
      </c>
      <c r="AF63" s="18" t="e">
        <f>Table1323[[#This Row],[Implement]]*Table1323[[#This Row],[BCH Peak kW]]</f>
        <v>#VALUE!</v>
      </c>
      <c r="AG63" s="18">
        <f>Table1323[[#This Row],[Implement]]*Table1323[[#This Row],[Rebate kWh savings]]</f>
        <v>0</v>
      </c>
      <c r="AH63" s="18">
        <f>Table1323[[#This Row],[Implement]]*Table1323[[#This Row],[Controls Rebate kWh Savings]]</f>
        <v>0</v>
      </c>
      <c r="AI63" s="233">
        <f>Table1323[[#This Row],[Implement]]*Table1323[[#This Row],[Controls Rebate]]</f>
        <v>0</v>
      </c>
      <c r="AJ63" s="569">
        <f>IF(Table1323[[#This Row],[iControls Incentives]]&gt;0,Table1323[[#This Row],[Number of  sensors]],0)</f>
        <v>0</v>
      </c>
      <c r="AK63" s="233">
        <f>Table1323[[#This Row],[Implement]]*Table1323[[#This Row],[Lighting Rebate]]</f>
        <v>0</v>
      </c>
    </row>
    <row r="64" spans="2:37" ht="32.15" customHeight="1" x14ac:dyDescent="0.3">
      <c r="B64" s="17" t="str">
        <f>IF(Table1323[[#This Row],[Space Type]]="","","L-"&amp;ROW(58:58))</f>
        <v/>
      </c>
      <c r="C64" s="206"/>
      <c r="D64" s="207"/>
      <c r="E64" s="207"/>
      <c r="F64" s="207"/>
      <c r="G64" s="208" t="str">
        <f>IFERROR(IF(Table1323[[#This Row],[No]]="","",IF(Table1323[[#This Row],[Space Type]]="","select Space Type",INDEX(Table5[Hours],MATCH(Table1323[[#This Row],[Space Type]],Table5[Space Type],0)))),"")</f>
        <v/>
      </c>
      <c r="H64" s="207"/>
      <c r="I64" s="207"/>
      <c r="J64" s="613" t="str">
        <f>IFERROR(INDEX(Table1[Integrated Controls Capable],MATCH(Table1323[[#This Row],[Rebate Category]],Table1[BC Hydro Rebate Category],0)),"")</f>
        <v/>
      </c>
      <c r="K64" s="207"/>
      <c r="L64" s="572" t="str" cm="1">
        <f t="array" ref="L64">IFERROR(INDEX(Table1[Rebate],MATCH(Table1323[[#This Row],[Rebate Category]],Table1[BC Hydro Rebate Category],0))+IF(AND(Table1323[[#This Row],[Integrated Controls Capable]],Table1323[[#This Row],[Fixture Integrated Occupancy/Daylight Harvesting Sensors?]]="Yes"),Table6[],0),"")</f>
        <v/>
      </c>
      <c r="M64" s="574" t="str">
        <f>IFERROR(IF(AND(Table1323[[#This Row],[Integrated Controls Capable]],Table1323[[#This Row],[Fixture Integrated Occupancy/Daylight Harvesting Sensors?]]="Yes"),"per integrated luminaire", INDEX(Table1[Rebate Unit],MATCH(Table1323[[#This Row],[Rebate Category]],Table1[BC Hydro Rebate Category],0))),"")</f>
        <v/>
      </c>
      <c r="N64" s="207"/>
      <c r="O64" s="207"/>
      <c r="P64" s="206"/>
      <c r="Q64" s="209">
        <f>IFERROR(Table1323[[#This Row],[Rebate per luminaire, ($)]]*Table1323[[#This Row],[Quantity of luminaires or lamps]],0)</f>
        <v>0</v>
      </c>
      <c r="R6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64" s="211" t="str">
        <f>IFERROR(IF(Table1323[[#This Row],[Quantity of luminaires or lamps]]="","",IF(Table1323[[#This Row],[Controls Rebate]]="",0,Table1323[[#This Row],[Controls Rebate]])+Table1323[[#This Row],[Lighting Rebate]]),"")</f>
        <v/>
      </c>
      <c r="T6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64" s="213">
        <f>IFERROR(Table1323[[#This Row],[Rebate kW Savings]]*Table1323[[#This Row],[Annual hours from space type]],0)</f>
        <v>0</v>
      </c>
      <c r="V6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64" s="213">
        <f>Table1323[[#This Row],[Rebate kWh savings]]+Table1323[[#This Row],[Controls Rebate kWh Savings]]</f>
        <v>0</v>
      </c>
      <c r="X64" s="214" t="str">
        <f>IFERROR(IF(Table1323[[#This Row],[Quantity of luminaires or lamps]]="","",Table1323[[#This Row],[Rebate kW Savings]]),0)</f>
        <v/>
      </c>
      <c r="Y64" s="215" t="str">
        <f>IFERROR(IF(Table1323[[#This Row],[Quantity of luminaires or lamps]]="","",Table1323[[#This Row],[Total Lighting Rebate Energy Savings]]),0)</f>
        <v/>
      </c>
      <c r="Z64" s="207"/>
      <c r="AA64" s="18" t="str">
        <f>IF(Table1323[[#This Row],[Selected for Implementation]]="Yes",IF(Table1323[[#This Row],[No]]="","",(CONCATENATE("Light_"&amp;Table1323[[#This Row],[Rebate Category]]&amp;Table1323[[#This Row],[LED lamp/luminaire retrofit part '#]]))),"")</f>
        <v/>
      </c>
      <c r="AB64" s="20" t="str" cm="1">
        <f t="array" ref="AB64">IFERROR(IF(Table1323[[#This Row],[Annual hours from space type]]&gt;=Table14[],Table1323[[#This Row],[Demand Savings, kW]],0),0)</f>
        <v/>
      </c>
      <c r="AC64" s="19" t="str">
        <f>IFERROR(INDEX(Table1[BC Hydro xRM ECM],MATCH(Table1323[[#This Row],[Rebate Category]],Table1[BC Hydro Rebate Category],0)),"")</f>
        <v/>
      </c>
      <c r="AD64" s="18">
        <f>IF(Table1323[[#This Row],[Selected for Implementation]]="Yes",1,0)</f>
        <v>0</v>
      </c>
      <c r="AE64" s="18" t="e">
        <f>Table1323[[#This Row],[Implement]]*Table1323[[#This Row],[Demand Savings, kW]]</f>
        <v>#VALUE!</v>
      </c>
      <c r="AF64" s="18" t="e">
        <f>Table1323[[#This Row],[Implement]]*Table1323[[#This Row],[BCH Peak kW]]</f>
        <v>#VALUE!</v>
      </c>
      <c r="AG64" s="18">
        <f>Table1323[[#This Row],[Implement]]*Table1323[[#This Row],[Rebate kWh savings]]</f>
        <v>0</v>
      </c>
      <c r="AH64" s="18">
        <f>Table1323[[#This Row],[Implement]]*Table1323[[#This Row],[Controls Rebate kWh Savings]]</f>
        <v>0</v>
      </c>
      <c r="AI64" s="233">
        <f>Table1323[[#This Row],[Implement]]*Table1323[[#This Row],[Controls Rebate]]</f>
        <v>0</v>
      </c>
      <c r="AJ64" s="569">
        <f>IF(Table1323[[#This Row],[iControls Incentives]]&gt;0,Table1323[[#This Row],[Number of  sensors]],0)</f>
        <v>0</v>
      </c>
      <c r="AK64" s="233">
        <f>Table1323[[#This Row],[Implement]]*Table1323[[#This Row],[Lighting Rebate]]</f>
        <v>0</v>
      </c>
    </row>
    <row r="65" spans="2:37" ht="32.15" customHeight="1" x14ac:dyDescent="0.3">
      <c r="B65" s="17" t="str">
        <f>IF(Table1323[[#This Row],[Space Type]]="","","L-"&amp;ROW(59:59))</f>
        <v/>
      </c>
      <c r="C65" s="206"/>
      <c r="D65" s="207"/>
      <c r="E65" s="207"/>
      <c r="F65" s="207"/>
      <c r="G65" s="208" t="str">
        <f>IFERROR(IF(Table1323[[#This Row],[No]]="","",IF(Table1323[[#This Row],[Space Type]]="","select Space Type",INDEX(Table5[Hours],MATCH(Table1323[[#This Row],[Space Type]],Table5[Space Type],0)))),"")</f>
        <v/>
      </c>
      <c r="H65" s="207"/>
      <c r="I65" s="207"/>
      <c r="J65" s="613" t="str">
        <f>IFERROR(INDEX(Table1[Integrated Controls Capable],MATCH(Table1323[[#This Row],[Rebate Category]],Table1[BC Hydro Rebate Category],0)),"")</f>
        <v/>
      </c>
      <c r="K65" s="207"/>
      <c r="L65" s="572" t="str" cm="1">
        <f t="array" ref="L65">IFERROR(INDEX(Table1[Rebate],MATCH(Table1323[[#This Row],[Rebate Category]],Table1[BC Hydro Rebate Category],0))+IF(AND(Table1323[[#This Row],[Integrated Controls Capable]],Table1323[[#This Row],[Fixture Integrated Occupancy/Daylight Harvesting Sensors?]]="Yes"),Table6[],0),"")</f>
        <v/>
      </c>
      <c r="M65" s="574" t="str">
        <f>IFERROR(IF(AND(Table1323[[#This Row],[Integrated Controls Capable]],Table1323[[#This Row],[Fixture Integrated Occupancy/Daylight Harvesting Sensors?]]="Yes"),"per integrated luminaire", INDEX(Table1[Rebate Unit],MATCH(Table1323[[#This Row],[Rebate Category]],Table1[BC Hydro Rebate Category],0))),"")</f>
        <v/>
      </c>
      <c r="N65" s="207"/>
      <c r="O65" s="207"/>
      <c r="P65" s="206"/>
      <c r="Q65" s="209">
        <f>IFERROR(Table1323[[#This Row],[Rebate per luminaire, ($)]]*Table1323[[#This Row],[Quantity of luminaires or lamps]],0)</f>
        <v>0</v>
      </c>
      <c r="R6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65" s="211" t="str">
        <f>IFERROR(IF(Table1323[[#This Row],[Quantity of luminaires or lamps]]="","",IF(Table1323[[#This Row],[Controls Rebate]]="",0,Table1323[[#This Row],[Controls Rebate]])+Table1323[[#This Row],[Lighting Rebate]]),"")</f>
        <v/>
      </c>
      <c r="T6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65" s="213">
        <f>IFERROR(Table1323[[#This Row],[Rebate kW Savings]]*Table1323[[#This Row],[Annual hours from space type]],0)</f>
        <v>0</v>
      </c>
      <c r="V6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65" s="213">
        <f>Table1323[[#This Row],[Rebate kWh savings]]+Table1323[[#This Row],[Controls Rebate kWh Savings]]</f>
        <v>0</v>
      </c>
      <c r="X65" s="214" t="str">
        <f>IFERROR(IF(Table1323[[#This Row],[Quantity of luminaires or lamps]]="","",Table1323[[#This Row],[Rebate kW Savings]]),0)</f>
        <v/>
      </c>
      <c r="Y65" s="215" t="str">
        <f>IFERROR(IF(Table1323[[#This Row],[Quantity of luminaires or lamps]]="","",Table1323[[#This Row],[Total Lighting Rebate Energy Savings]]),0)</f>
        <v/>
      </c>
      <c r="Z65" s="207"/>
      <c r="AA65" s="18" t="str">
        <f>IF(Table1323[[#This Row],[Selected for Implementation]]="Yes",IF(Table1323[[#This Row],[No]]="","",(CONCATENATE("Light_"&amp;Table1323[[#This Row],[Rebate Category]]&amp;Table1323[[#This Row],[LED lamp/luminaire retrofit part '#]]))),"")</f>
        <v/>
      </c>
      <c r="AB65" s="20" t="str" cm="1">
        <f t="array" ref="AB65">IFERROR(IF(Table1323[[#This Row],[Annual hours from space type]]&gt;=Table14[],Table1323[[#This Row],[Demand Savings, kW]],0),0)</f>
        <v/>
      </c>
      <c r="AC65" s="19" t="str">
        <f>IFERROR(INDEX(Table1[BC Hydro xRM ECM],MATCH(Table1323[[#This Row],[Rebate Category]],Table1[BC Hydro Rebate Category],0)),"")</f>
        <v/>
      </c>
      <c r="AD65" s="18">
        <f>IF(Table1323[[#This Row],[Selected for Implementation]]="Yes",1,0)</f>
        <v>0</v>
      </c>
      <c r="AE65" s="18" t="e">
        <f>Table1323[[#This Row],[Implement]]*Table1323[[#This Row],[Demand Savings, kW]]</f>
        <v>#VALUE!</v>
      </c>
      <c r="AF65" s="18" t="e">
        <f>Table1323[[#This Row],[Implement]]*Table1323[[#This Row],[BCH Peak kW]]</f>
        <v>#VALUE!</v>
      </c>
      <c r="AG65" s="18">
        <f>Table1323[[#This Row],[Implement]]*Table1323[[#This Row],[Rebate kWh savings]]</f>
        <v>0</v>
      </c>
      <c r="AH65" s="18">
        <f>Table1323[[#This Row],[Implement]]*Table1323[[#This Row],[Controls Rebate kWh Savings]]</f>
        <v>0</v>
      </c>
      <c r="AI65" s="233">
        <f>Table1323[[#This Row],[Implement]]*Table1323[[#This Row],[Controls Rebate]]</f>
        <v>0</v>
      </c>
      <c r="AJ65" s="569">
        <f>IF(Table1323[[#This Row],[iControls Incentives]]&gt;0,Table1323[[#This Row],[Number of  sensors]],0)</f>
        <v>0</v>
      </c>
      <c r="AK65" s="233">
        <f>Table1323[[#This Row],[Implement]]*Table1323[[#This Row],[Lighting Rebate]]</f>
        <v>0</v>
      </c>
    </row>
    <row r="66" spans="2:37" ht="32.15" customHeight="1" x14ac:dyDescent="0.3">
      <c r="B66" s="17" t="str">
        <f>IF(Table1323[[#This Row],[Space Type]]="","","L-"&amp;ROW(60:60))</f>
        <v/>
      </c>
      <c r="C66" s="206"/>
      <c r="D66" s="207"/>
      <c r="E66" s="207"/>
      <c r="F66" s="207"/>
      <c r="G66" s="208" t="str">
        <f>IFERROR(IF(Table1323[[#This Row],[No]]="","",IF(Table1323[[#This Row],[Space Type]]="","select Space Type",INDEX(Table5[Hours],MATCH(Table1323[[#This Row],[Space Type]],Table5[Space Type],0)))),"")</f>
        <v/>
      </c>
      <c r="H66" s="207"/>
      <c r="I66" s="207"/>
      <c r="J66" s="613" t="str">
        <f>IFERROR(INDEX(Table1[Integrated Controls Capable],MATCH(Table1323[[#This Row],[Rebate Category]],Table1[BC Hydro Rebate Category],0)),"")</f>
        <v/>
      </c>
      <c r="K66" s="207"/>
      <c r="L66" s="572" t="str" cm="1">
        <f t="array" ref="L66">IFERROR(INDEX(Table1[Rebate],MATCH(Table1323[[#This Row],[Rebate Category]],Table1[BC Hydro Rebate Category],0))+IF(AND(Table1323[[#This Row],[Integrated Controls Capable]],Table1323[[#This Row],[Fixture Integrated Occupancy/Daylight Harvesting Sensors?]]="Yes"),Table6[],0),"")</f>
        <v/>
      </c>
      <c r="M66" s="574" t="str">
        <f>IFERROR(IF(AND(Table1323[[#This Row],[Integrated Controls Capable]],Table1323[[#This Row],[Fixture Integrated Occupancy/Daylight Harvesting Sensors?]]="Yes"),"per integrated luminaire", INDEX(Table1[Rebate Unit],MATCH(Table1323[[#This Row],[Rebate Category]],Table1[BC Hydro Rebate Category],0))),"")</f>
        <v/>
      </c>
      <c r="N66" s="207"/>
      <c r="O66" s="207"/>
      <c r="P66" s="206"/>
      <c r="Q66" s="209">
        <f>IFERROR(Table1323[[#This Row],[Rebate per luminaire, ($)]]*Table1323[[#This Row],[Quantity of luminaires or lamps]],0)</f>
        <v>0</v>
      </c>
      <c r="R6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66" s="211" t="str">
        <f>IFERROR(IF(Table1323[[#This Row],[Quantity of luminaires or lamps]]="","",IF(Table1323[[#This Row],[Controls Rebate]]="",0,Table1323[[#This Row],[Controls Rebate]])+Table1323[[#This Row],[Lighting Rebate]]),"")</f>
        <v/>
      </c>
      <c r="T6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66" s="213">
        <f>IFERROR(Table1323[[#This Row],[Rebate kW Savings]]*Table1323[[#This Row],[Annual hours from space type]],0)</f>
        <v>0</v>
      </c>
      <c r="V6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66" s="213">
        <f>Table1323[[#This Row],[Rebate kWh savings]]+Table1323[[#This Row],[Controls Rebate kWh Savings]]</f>
        <v>0</v>
      </c>
      <c r="X66" s="214" t="str">
        <f>IFERROR(IF(Table1323[[#This Row],[Quantity of luminaires or lamps]]="","",Table1323[[#This Row],[Rebate kW Savings]]),0)</f>
        <v/>
      </c>
      <c r="Y66" s="215" t="str">
        <f>IFERROR(IF(Table1323[[#This Row],[Quantity of luminaires or lamps]]="","",Table1323[[#This Row],[Total Lighting Rebate Energy Savings]]),0)</f>
        <v/>
      </c>
      <c r="Z66" s="207"/>
      <c r="AA66" s="18" t="str">
        <f>IF(Table1323[[#This Row],[Selected for Implementation]]="Yes",IF(Table1323[[#This Row],[No]]="","",(CONCATENATE("Light_"&amp;Table1323[[#This Row],[Rebate Category]]&amp;Table1323[[#This Row],[LED lamp/luminaire retrofit part '#]]))),"")</f>
        <v/>
      </c>
      <c r="AB66" s="20" t="str" cm="1">
        <f t="array" ref="AB66">IFERROR(IF(Table1323[[#This Row],[Annual hours from space type]]&gt;=Table14[],Table1323[[#This Row],[Demand Savings, kW]],0),0)</f>
        <v/>
      </c>
      <c r="AC66" s="19" t="str">
        <f>IFERROR(INDEX(Table1[BC Hydro xRM ECM],MATCH(Table1323[[#This Row],[Rebate Category]],Table1[BC Hydro Rebate Category],0)),"")</f>
        <v/>
      </c>
      <c r="AD66" s="18">
        <f>IF(Table1323[[#This Row],[Selected for Implementation]]="Yes",1,0)</f>
        <v>0</v>
      </c>
      <c r="AE66" s="18" t="e">
        <f>Table1323[[#This Row],[Implement]]*Table1323[[#This Row],[Demand Savings, kW]]</f>
        <v>#VALUE!</v>
      </c>
      <c r="AF66" s="18" t="e">
        <f>Table1323[[#This Row],[Implement]]*Table1323[[#This Row],[BCH Peak kW]]</f>
        <v>#VALUE!</v>
      </c>
      <c r="AG66" s="18">
        <f>Table1323[[#This Row],[Implement]]*Table1323[[#This Row],[Rebate kWh savings]]</f>
        <v>0</v>
      </c>
      <c r="AH66" s="18">
        <f>Table1323[[#This Row],[Implement]]*Table1323[[#This Row],[Controls Rebate kWh Savings]]</f>
        <v>0</v>
      </c>
      <c r="AI66" s="233">
        <f>Table1323[[#This Row],[Implement]]*Table1323[[#This Row],[Controls Rebate]]</f>
        <v>0</v>
      </c>
      <c r="AJ66" s="569">
        <f>IF(Table1323[[#This Row],[iControls Incentives]]&gt;0,Table1323[[#This Row],[Number of  sensors]],0)</f>
        <v>0</v>
      </c>
      <c r="AK66" s="233">
        <f>Table1323[[#This Row],[Implement]]*Table1323[[#This Row],[Lighting Rebate]]</f>
        <v>0</v>
      </c>
    </row>
    <row r="67" spans="2:37" ht="32.15" customHeight="1" x14ac:dyDescent="0.3">
      <c r="B67" s="17" t="str">
        <f>IF(Table1323[[#This Row],[Space Type]]="","","L-"&amp;ROW(61:61))</f>
        <v/>
      </c>
      <c r="C67" s="206"/>
      <c r="D67" s="207"/>
      <c r="E67" s="207"/>
      <c r="F67" s="207"/>
      <c r="G67" s="208" t="str">
        <f>IFERROR(IF(Table1323[[#This Row],[No]]="","",IF(Table1323[[#This Row],[Space Type]]="","select Space Type",INDEX(Table5[Hours],MATCH(Table1323[[#This Row],[Space Type]],Table5[Space Type],0)))),"")</f>
        <v/>
      </c>
      <c r="H67" s="207"/>
      <c r="I67" s="207"/>
      <c r="J67" s="613" t="str">
        <f>IFERROR(INDEX(Table1[Integrated Controls Capable],MATCH(Table1323[[#This Row],[Rebate Category]],Table1[BC Hydro Rebate Category],0)),"")</f>
        <v/>
      </c>
      <c r="K67" s="207"/>
      <c r="L67" s="572" t="str" cm="1">
        <f t="array" ref="L67">IFERROR(INDEX(Table1[Rebate],MATCH(Table1323[[#This Row],[Rebate Category]],Table1[BC Hydro Rebate Category],0))+IF(AND(Table1323[[#This Row],[Integrated Controls Capable]],Table1323[[#This Row],[Fixture Integrated Occupancy/Daylight Harvesting Sensors?]]="Yes"),Table6[],0),"")</f>
        <v/>
      </c>
      <c r="M67" s="574" t="str">
        <f>IFERROR(IF(AND(Table1323[[#This Row],[Integrated Controls Capable]],Table1323[[#This Row],[Fixture Integrated Occupancy/Daylight Harvesting Sensors?]]="Yes"),"per integrated luminaire", INDEX(Table1[Rebate Unit],MATCH(Table1323[[#This Row],[Rebate Category]],Table1[BC Hydro Rebate Category],0))),"")</f>
        <v/>
      </c>
      <c r="N67" s="207"/>
      <c r="O67" s="207"/>
      <c r="P67" s="206"/>
      <c r="Q67" s="209">
        <f>IFERROR(Table1323[[#This Row],[Rebate per luminaire, ($)]]*Table1323[[#This Row],[Quantity of luminaires or lamps]],0)</f>
        <v>0</v>
      </c>
      <c r="R6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67" s="211" t="str">
        <f>IFERROR(IF(Table1323[[#This Row],[Quantity of luminaires or lamps]]="","",IF(Table1323[[#This Row],[Controls Rebate]]="",0,Table1323[[#This Row],[Controls Rebate]])+Table1323[[#This Row],[Lighting Rebate]]),"")</f>
        <v/>
      </c>
      <c r="T6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67" s="213">
        <f>IFERROR(Table1323[[#This Row],[Rebate kW Savings]]*Table1323[[#This Row],[Annual hours from space type]],0)</f>
        <v>0</v>
      </c>
      <c r="V6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67" s="213">
        <f>Table1323[[#This Row],[Rebate kWh savings]]+Table1323[[#This Row],[Controls Rebate kWh Savings]]</f>
        <v>0</v>
      </c>
      <c r="X67" s="214" t="str">
        <f>IFERROR(IF(Table1323[[#This Row],[Quantity of luminaires or lamps]]="","",Table1323[[#This Row],[Rebate kW Savings]]),0)</f>
        <v/>
      </c>
      <c r="Y67" s="215" t="str">
        <f>IFERROR(IF(Table1323[[#This Row],[Quantity of luminaires or lamps]]="","",Table1323[[#This Row],[Total Lighting Rebate Energy Savings]]),0)</f>
        <v/>
      </c>
      <c r="Z67" s="207"/>
      <c r="AA67" s="18" t="str">
        <f>IF(Table1323[[#This Row],[Selected for Implementation]]="Yes",IF(Table1323[[#This Row],[No]]="","",(CONCATENATE("Light_"&amp;Table1323[[#This Row],[Rebate Category]]&amp;Table1323[[#This Row],[LED lamp/luminaire retrofit part '#]]))),"")</f>
        <v/>
      </c>
      <c r="AB67" s="20" t="str" cm="1">
        <f t="array" ref="AB67">IFERROR(IF(Table1323[[#This Row],[Annual hours from space type]]&gt;=Table14[],Table1323[[#This Row],[Demand Savings, kW]],0),0)</f>
        <v/>
      </c>
      <c r="AC67" s="19" t="str">
        <f>IFERROR(INDEX(Table1[BC Hydro xRM ECM],MATCH(Table1323[[#This Row],[Rebate Category]],Table1[BC Hydro Rebate Category],0)),"")</f>
        <v/>
      </c>
      <c r="AD67" s="18">
        <f>IF(Table1323[[#This Row],[Selected for Implementation]]="Yes",1,0)</f>
        <v>0</v>
      </c>
      <c r="AE67" s="18" t="e">
        <f>Table1323[[#This Row],[Implement]]*Table1323[[#This Row],[Demand Savings, kW]]</f>
        <v>#VALUE!</v>
      </c>
      <c r="AF67" s="18" t="e">
        <f>Table1323[[#This Row],[Implement]]*Table1323[[#This Row],[BCH Peak kW]]</f>
        <v>#VALUE!</v>
      </c>
      <c r="AG67" s="18">
        <f>Table1323[[#This Row],[Implement]]*Table1323[[#This Row],[Rebate kWh savings]]</f>
        <v>0</v>
      </c>
      <c r="AH67" s="18">
        <f>Table1323[[#This Row],[Implement]]*Table1323[[#This Row],[Controls Rebate kWh Savings]]</f>
        <v>0</v>
      </c>
      <c r="AI67" s="233">
        <f>Table1323[[#This Row],[Implement]]*Table1323[[#This Row],[Controls Rebate]]</f>
        <v>0</v>
      </c>
      <c r="AJ67" s="569">
        <f>IF(Table1323[[#This Row],[iControls Incentives]]&gt;0,Table1323[[#This Row],[Number of  sensors]],0)</f>
        <v>0</v>
      </c>
      <c r="AK67" s="233">
        <f>Table1323[[#This Row],[Implement]]*Table1323[[#This Row],[Lighting Rebate]]</f>
        <v>0</v>
      </c>
    </row>
    <row r="68" spans="2:37" ht="32.15" customHeight="1" x14ac:dyDescent="0.3">
      <c r="B68" s="17" t="str">
        <f>IF(Table1323[[#This Row],[Space Type]]="","","L-"&amp;ROW(62:62))</f>
        <v/>
      </c>
      <c r="C68" s="206"/>
      <c r="D68" s="207"/>
      <c r="E68" s="207"/>
      <c r="F68" s="207"/>
      <c r="G68" s="208" t="str">
        <f>IFERROR(IF(Table1323[[#This Row],[No]]="","",IF(Table1323[[#This Row],[Space Type]]="","select Space Type",INDEX(Table5[Hours],MATCH(Table1323[[#This Row],[Space Type]],Table5[Space Type],0)))),"")</f>
        <v/>
      </c>
      <c r="H68" s="207"/>
      <c r="I68" s="207"/>
      <c r="J68" s="613" t="str">
        <f>IFERROR(INDEX(Table1[Integrated Controls Capable],MATCH(Table1323[[#This Row],[Rebate Category]],Table1[BC Hydro Rebate Category],0)),"")</f>
        <v/>
      </c>
      <c r="K68" s="207"/>
      <c r="L68" s="572" t="str" cm="1">
        <f t="array" ref="L68">IFERROR(INDEX(Table1[Rebate],MATCH(Table1323[[#This Row],[Rebate Category]],Table1[BC Hydro Rebate Category],0))+IF(AND(Table1323[[#This Row],[Integrated Controls Capable]],Table1323[[#This Row],[Fixture Integrated Occupancy/Daylight Harvesting Sensors?]]="Yes"),Table6[],0),"")</f>
        <v/>
      </c>
      <c r="M68" s="574" t="str">
        <f>IFERROR(IF(AND(Table1323[[#This Row],[Integrated Controls Capable]],Table1323[[#This Row],[Fixture Integrated Occupancy/Daylight Harvesting Sensors?]]="Yes"),"per integrated luminaire", INDEX(Table1[Rebate Unit],MATCH(Table1323[[#This Row],[Rebate Category]],Table1[BC Hydro Rebate Category],0))),"")</f>
        <v/>
      </c>
      <c r="N68" s="207"/>
      <c r="O68" s="207"/>
      <c r="P68" s="206"/>
      <c r="Q68" s="209">
        <f>IFERROR(Table1323[[#This Row],[Rebate per luminaire, ($)]]*Table1323[[#This Row],[Quantity of luminaires or lamps]],0)</f>
        <v>0</v>
      </c>
      <c r="R6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68" s="211" t="str">
        <f>IFERROR(IF(Table1323[[#This Row],[Quantity of luminaires or lamps]]="","",IF(Table1323[[#This Row],[Controls Rebate]]="",0,Table1323[[#This Row],[Controls Rebate]])+Table1323[[#This Row],[Lighting Rebate]]),"")</f>
        <v/>
      </c>
      <c r="T6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68" s="213">
        <f>IFERROR(Table1323[[#This Row],[Rebate kW Savings]]*Table1323[[#This Row],[Annual hours from space type]],0)</f>
        <v>0</v>
      </c>
      <c r="V6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68" s="213">
        <f>Table1323[[#This Row],[Rebate kWh savings]]+Table1323[[#This Row],[Controls Rebate kWh Savings]]</f>
        <v>0</v>
      </c>
      <c r="X68" s="214" t="str">
        <f>IFERROR(IF(Table1323[[#This Row],[Quantity of luminaires or lamps]]="","",Table1323[[#This Row],[Rebate kW Savings]]),0)</f>
        <v/>
      </c>
      <c r="Y68" s="215" t="str">
        <f>IFERROR(IF(Table1323[[#This Row],[Quantity of luminaires or lamps]]="","",Table1323[[#This Row],[Total Lighting Rebate Energy Savings]]),0)</f>
        <v/>
      </c>
      <c r="Z68" s="207"/>
      <c r="AA68" s="18" t="str">
        <f>IF(Table1323[[#This Row],[Selected for Implementation]]="Yes",IF(Table1323[[#This Row],[No]]="","",(CONCATENATE("Light_"&amp;Table1323[[#This Row],[Rebate Category]]&amp;Table1323[[#This Row],[LED lamp/luminaire retrofit part '#]]))),"")</f>
        <v/>
      </c>
      <c r="AB68" s="20" t="str" cm="1">
        <f t="array" ref="AB68">IFERROR(IF(Table1323[[#This Row],[Annual hours from space type]]&gt;=Table14[],Table1323[[#This Row],[Demand Savings, kW]],0),0)</f>
        <v/>
      </c>
      <c r="AC68" s="19" t="str">
        <f>IFERROR(INDEX(Table1[BC Hydro xRM ECM],MATCH(Table1323[[#This Row],[Rebate Category]],Table1[BC Hydro Rebate Category],0)),"")</f>
        <v/>
      </c>
      <c r="AD68" s="18">
        <f>IF(Table1323[[#This Row],[Selected for Implementation]]="Yes",1,0)</f>
        <v>0</v>
      </c>
      <c r="AE68" s="18" t="e">
        <f>Table1323[[#This Row],[Implement]]*Table1323[[#This Row],[Demand Savings, kW]]</f>
        <v>#VALUE!</v>
      </c>
      <c r="AF68" s="18" t="e">
        <f>Table1323[[#This Row],[Implement]]*Table1323[[#This Row],[BCH Peak kW]]</f>
        <v>#VALUE!</v>
      </c>
      <c r="AG68" s="18">
        <f>Table1323[[#This Row],[Implement]]*Table1323[[#This Row],[Rebate kWh savings]]</f>
        <v>0</v>
      </c>
      <c r="AH68" s="18">
        <f>Table1323[[#This Row],[Implement]]*Table1323[[#This Row],[Controls Rebate kWh Savings]]</f>
        <v>0</v>
      </c>
      <c r="AI68" s="233">
        <f>Table1323[[#This Row],[Implement]]*Table1323[[#This Row],[Controls Rebate]]</f>
        <v>0</v>
      </c>
      <c r="AJ68" s="569">
        <f>IF(Table1323[[#This Row],[iControls Incentives]]&gt;0,Table1323[[#This Row],[Number of  sensors]],0)</f>
        <v>0</v>
      </c>
      <c r="AK68" s="233">
        <f>Table1323[[#This Row],[Implement]]*Table1323[[#This Row],[Lighting Rebate]]</f>
        <v>0</v>
      </c>
    </row>
    <row r="69" spans="2:37" ht="32.15" customHeight="1" x14ac:dyDescent="0.3">
      <c r="B69" s="17" t="str">
        <f>IF(Table1323[[#This Row],[Space Type]]="","","L-"&amp;ROW(63:63))</f>
        <v/>
      </c>
      <c r="C69" s="206"/>
      <c r="D69" s="207"/>
      <c r="E69" s="207"/>
      <c r="F69" s="207"/>
      <c r="G69" s="208" t="str">
        <f>IFERROR(IF(Table1323[[#This Row],[No]]="","",IF(Table1323[[#This Row],[Space Type]]="","select Space Type",INDEX(Table5[Hours],MATCH(Table1323[[#This Row],[Space Type]],Table5[Space Type],0)))),"")</f>
        <v/>
      </c>
      <c r="H69" s="207"/>
      <c r="I69" s="207"/>
      <c r="J69" s="613" t="str">
        <f>IFERROR(INDEX(Table1[Integrated Controls Capable],MATCH(Table1323[[#This Row],[Rebate Category]],Table1[BC Hydro Rebate Category],0)),"")</f>
        <v/>
      </c>
      <c r="K69" s="207"/>
      <c r="L69" s="572" t="str" cm="1">
        <f t="array" ref="L69">IFERROR(INDEX(Table1[Rebate],MATCH(Table1323[[#This Row],[Rebate Category]],Table1[BC Hydro Rebate Category],0))+IF(AND(Table1323[[#This Row],[Integrated Controls Capable]],Table1323[[#This Row],[Fixture Integrated Occupancy/Daylight Harvesting Sensors?]]="Yes"),Table6[],0),"")</f>
        <v/>
      </c>
      <c r="M69" s="574" t="str">
        <f>IFERROR(IF(AND(Table1323[[#This Row],[Integrated Controls Capable]],Table1323[[#This Row],[Fixture Integrated Occupancy/Daylight Harvesting Sensors?]]="Yes"),"per integrated luminaire", INDEX(Table1[Rebate Unit],MATCH(Table1323[[#This Row],[Rebate Category]],Table1[BC Hydro Rebate Category],0))),"")</f>
        <v/>
      </c>
      <c r="N69" s="207"/>
      <c r="O69" s="207"/>
      <c r="P69" s="206"/>
      <c r="Q69" s="209">
        <f>IFERROR(Table1323[[#This Row],[Rebate per luminaire, ($)]]*Table1323[[#This Row],[Quantity of luminaires or lamps]],0)</f>
        <v>0</v>
      </c>
      <c r="R6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69" s="211" t="str">
        <f>IFERROR(IF(Table1323[[#This Row],[Quantity of luminaires or lamps]]="","",IF(Table1323[[#This Row],[Controls Rebate]]="",0,Table1323[[#This Row],[Controls Rebate]])+Table1323[[#This Row],[Lighting Rebate]]),"")</f>
        <v/>
      </c>
      <c r="T6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69" s="213">
        <f>IFERROR(Table1323[[#This Row],[Rebate kW Savings]]*Table1323[[#This Row],[Annual hours from space type]],0)</f>
        <v>0</v>
      </c>
      <c r="V6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69" s="213">
        <f>Table1323[[#This Row],[Rebate kWh savings]]+Table1323[[#This Row],[Controls Rebate kWh Savings]]</f>
        <v>0</v>
      </c>
      <c r="X69" s="214" t="str">
        <f>IFERROR(IF(Table1323[[#This Row],[Quantity of luminaires or lamps]]="","",Table1323[[#This Row],[Rebate kW Savings]]),0)</f>
        <v/>
      </c>
      <c r="Y69" s="215" t="str">
        <f>IFERROR(IF(Table1323[[#This Row],[Quantity of luminaires or lamps]]="","",Table1323[[#This Row],[Total Lighting Rebate Energy Savings]]),0)</f>
        <v/>
      </c>
      <c r="Z69" s="207"/>
      <c r="AA69" s="18" t="str">
        <f>IF(Table1323[[#This Row],[Selected for Implementation]]="Yes",IF(Table1323[[#This Row],[No]]="","",(CONCATENATE("Light_"&amp;Table1323[[#This Row],[Rebate Category]]&amp;Table1323[[#This Row],[LED lamp/luminaire retrofit part '#]]))),"")</f>
        <v/>
      </c>
      <c r="AB69" s="20" t="str" cm="1">
        <f t="array" ref="AB69">IFERROR(IF(Table1323[[#This Row],[Annual hours from space type]]&gt;=Table14[],Table1323[[#This Row],[Demand Savings, kW]],0),0)</f>
        <v/>
      </c>
      <c r="AC69" s="19" t="str">
        <f>IFERROR(INDEX(Table1[BC Hydro xRM ECM],MATCH(Table1323[[#This Row],[Rebate Category]],Table1[BC Hydro Rebate Category],0)),"")</f>
        <v/>
      </c>
      <c r="AD69" s="18">
        <f>IF(Table1323[[#This Row],[Selected for Implementation]]="Yes",1,0)</f>
        <v>0</v>
      </c>
      <c r="AE69" s="18" t="e">
        <f>Table1323[[#This Row],[Implement]]*Table1323[[#This Row],[Demand Savings, kW]]</f>
        <v>#VALUE!</v>
      </c>
      <c r="AF69" s="18" t="e">
        <f>Table1323[[#This Row],[Implement]]*Table1323[[#This Row],[BCH Peak kW]]</f>
        <v>#VALUE!</v>
      </c>
      <c r="AG69" s="18">
        <f>Table1323[[#This Row],[Implement]]*Table1323[[#This Row],[Rebate kWh savings]]</f>
        <v>0</v>
      </c>
      <c r="AH69" s="18">
        <f>Table1323[[#This Row],[Implement]]*Table1323[[#This Row],[Controls Rebate kWh Savings]]</f>
        <v>0</v>
      </c>
      <c r="AI69" s="233">
        <f>Table1323[[#This Row],[Implement]]*Table1323[[#This Row],[Controls Rebate]]</f>
        <v>0</v>
      </c>
      <c r="AJ69" s="569">
        <f>IF(Table1323[[#This Row],[iControls Incentives]]&gt;0,Table1323[[#This Row],[Number of  sensors]],0)</f>
        <v>0</v>
      </c>
      <c r="AK69" s="233">
        <f>Table1323[[#This Row],[Implement]]*Table1323[[#This Row],[Lighting Rebate]]</f>
        <v>0</v>
      </c>
    </row>
    <row r="70" spans="2:37" ht="32.15" customHeight="1" x14ac:dyDescent="0.3">
      <c r="B70" s="17" t="str">
        <f>IF(Table1323[[#This Row],[Space Type]]="","","L-"&amp;ROW(64:64))</f>
        <v/>
      </c>
      <c r="C70" s="206"/>
      <c r="D70" s="207"/>
      <c r="E70" s="207"/>
      <c r="F70" s="207"/>
      <c r="G70" s="208" t="str">
        <f>IFERROR(IF(Table1323[[#This Row],[No]]="","",IF(Table1323[[#This Row],[Space Type]]="","select Space Type",INDEX(Table5[Hours],MATCH(Table1323[[#This Row],[Space Type]],Table5[Space Type],0)))),"")</f>
        <v/>
      </c>
      <c r="H70" s="207"/>
      <c r="I70" s="207"/>
      <c r="J70" s="613" t="str">
        <f>IFERROR(INDEX(Table1[Integrated Controls Capable],MATCH(Table1323[[#This Row],[Rebate Category]],Table1[BC Hydro Rebate Category],0)),"")</f>
        <v/>
      </c>
      <c r="K70" s="207"/>
      <c r="L70" s="572" t="str" cm="1">
        <f t="array" ref="L70">IFERROR(INDEX(Table1[Rebate],MATCH(Table1323[[#This Row],[Rebate Category]],Table1[BC Hydro Rebate Category],0))+IF(AND(Table1323[[#This Row],[Integrated Controls Capable]],Table1323[[#This Row],[Fixture Integrated Occupancy/Daylight Harvesting Sensors?]]="Yes"),Table6[],0),"")</f>
        <v/>
      </c>
      <c r="M70" s="574" t="str">
        <f>IFERROR(IF(AND(Table1323[[#This Row],[Integrated Controls Capable]],Table1323[[#This Row],[Fixture Integrated Occupancy/Daylight Harvesting Sensors?]]="Yes"),"per integrated luminaire", INDEX(Table1[Rebate Unit],MATCH(Table1323[[#This Row],[Rebate Category]],Table1[BC Hydro Rebate Category],0))),"")</f>
        <v/>
      </c>
      <c r="N70" s="207"/>
      <c r="O70" s="207"/>
      <c r="P70" s="206"/>
      <c r="Q70" s="209">
        <f>IFERROR(Table1323[[#This Row],[Rebate per luminaire, ($)]]*Table1323[[#This Row],[Quantity of luminaires or lamps]],0)</f>
        <v>0</v>
      </c>
      <c r="R7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70" s="211" t="str">
        <f>IFERROR(IF(Table1323[[#This Row],[Quantity of luminaires or lamps]]="","",IF(Table1323[[#This Row],[Controls Rebate]]="",0,Table1323[[#This Row],[Controls Rebate]])+Table1323[[#This Row],[Lighting Rebate]]),"")</f>
        <v/>
      </c>
      <c r="T7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70" s="213">
        <f>IFERROR(Table1323[[#This Row],[Rebate kW Savings]]*Table1323[[#This Row],[Annual hours from space type]],0)</f>
        <v>0</v>
      </c>
      <c r="V7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70" s="213">
        <f>Table1323[[#This Row],[Rebate kWh savings]]+Table1323[[#This Row],[Controls Rebate kWh Savings]]</f>
        <v>0</v>
      </c>
      <c r="X70" s="214" t="str">
        <f>IFERROR(IF(Table1323[[#This Row],[Quantity of luminaires or lamps]]="","",Table1323[[#This Row],[Rebate kW Savings]]),0)</f>
        <v/>
      </c>
      <c r="Y70" s="215" t="str">
        <f>IFERROR(IF(Table1323[[#This Row],[Quantity of luminaires or lamps]]="","",Table1323[[#This Row],[Total Lighting Rebate Energy Savings]]),0)</f>
        <v/>
      </c>
      <c r="Z70" s="207"/>
      <c r="AA70" s="18" t="str">
        <f>IF(Table1323[[#This Row],[Selected for Implementation]]="Yes",IF(Table1323[[#This Row],[No]]="","",(CONCATENATE("Light_"&amp;Table1323[[#This Row],[Rebate Category]]&amp;Table1323[[#This Row],[LED lamp/luminaire retrofit part '#]]))),"")</f>
        <v/>
      </c>
      <c r="AB70" s="20" t="str" cm="1">
        <f t="array" ref="AB70">IFERROR(IF(Table1323[[#This Row],[Annual hours from space type]]&gt;=Table14[],Table1323[[#This Row],[Demand Savings, kW]],0),0)</f>
        <v/>
      </c>
      <c r="AC70" s="19" t="str">
        <f>IFERROR(INDEX(Table1[BC Hydro xRM ECM],MATCH(Table1323[[#This Row],[Rebate Category]],Table1[BC Hydro Rebate Category],0)),"")</f>
        <v/>
      </c>
      <c r="AD70" s="18">
        <f>IF(Table1323[[#This Row],[Selected for Implementation]]="Yes",1,0)</f>
        <v>0</v>
      </c>
      <c r="AE70" s="18" t="e">
        <f>Table1323[[#This Row],[Implement]]*Table1323[[#This Row],[Demand Savings, kW]]</f>
        <v>#VALUE!</v>
      </c>
      <c r="AF70" s="18" t="e">
        <f>Table1323[[#This Row],[Implement]]*Table1323[[#This Row],[BCH Peak kW]]</f>
        <v>#VALUE!</v>
      </c>
      <c r="AG70" s="18">
        <f>Table1323[[#This Row],[Implement]]*Table1323[[#This Row],[Rebate kWh savings]]</f>
        <v>0</v>
      </c>
      <c r="AH70" s="18">
        <f>Table1323[[#This Row],[Implement]]*Table1323[[#This Row],[Controls Rebate kWh Savings]]</f>
        <v>0</v>
      </c>
      <c r="AI70" s="233">
        <f>Table1323[[#This Row],[Implement]]*Table1323[[#This Row],[Controls Rebate]]</f>
        <v>0</v>
      </c>
      <c r="AJ70" s="569">
        <f>IF(Table1323[[#This Row],[iControls Incentives]]&gt;0,Table1323[[#This Row],[Number of  sensors]],0)</f>
        <v>0</v>
      </c>
      <c r="AK70" s="233">
        <f>Table1323[[#This Row],[Implement]]*Table1323[[#This Row],[Lighting Rebate]]</f>
        <v>0</v>
      </c>
    </row>
    <row r="71" spans="2:37" ht="32.15" customHeight="1" x14ac:dyDescent="0.3">
      <c r="B71" s="17" t="str">
        <f>IF(Table1323[[#This Row],[Space Type]]="","","L-"&amp;ROW(65:65))</f>
        <v/>
      </c>
      <c r="C71" s="206"/>
      <c r="D71" s="207"/>
      <c r="E71" s="207"/>
      <c r="F71" s="207"/>
      <c r="G71" s="208" t="str">
        <f>IFERROR(IF(Table1323[[#This Row],[No]]="","",IF(Table1323[[#This Row],[Space Type]]="","select Space Type",INDEX(Table5[Hours],MATCH(Table1323[[#This Row],[Space Type]],Table5[Space Type],0)))),"")</f>
        <v/>
      </c>
      <c r="H71" s="207"/>
      <c r="I71" s="207"/>
      <c r="J71" s="613" t="str">
        <f>IFERROR(INDEX(Table1[Integrated Controls Capable],MATCH(Table1323[[#This Row],[Rebate Category]],Table1[BC Hydro Rebate Category],0)),"")</f>
        <v/>
      </c>
      <c r="K71" s="207"/>
      <c r="L71" s="572" t="str" cm="1">
        <f t="array" ref="L71">IFERROR(INDEX(Table1[Rebate],MATCH(Table1323[[#This Row],[Rebate Category]],Table1[BC Hydro Rebate Category],0))+IF(AND(Table1323[[#This Row],[Integrated Controls Capable]],Table1323[[#This Row],[Fixture Integrated Occupancy/Daylight Harvesting Sensors?]]="Yes"),Table6[],0),"")</f>
        <v/>
      </c>
      <c r="M71" s="574" t="str">
        <f>IFERROR(IF(AND(Table1323[[#This Row],[Integrated Controls Capable]],Table1323[[#This Row],[Fixture Integrated Occupancy/Daylight Harvesting Sensors?]]="Yes"),"per integrated luminaire", INDEX(Table1[Rebate Unit],MATCH(Table1323[[#This Row],[Rebate Category]],Table1[BC Hydro Rebate Category],0))),"")</f>
        <v/>
      </c>
      <c r="N71" s="207"/>
      <c r="O71" s="207"/>
      <c r="P71" s="206"/>
      <c r="Q71" s="209">
        <f>IFERROR(Table1323[[#This Row],[Rebate per luminaire, ($)]]*Table1323[[#This Row],[Quantity of luminaires or lamps]],0)</f>
        <v>0</v>
      </c>
      <c r="R7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71" s="211" t="str">
        <f>IFERROR(IF(Table1323[[#This Row],[Quantity of luminaires or lamps]]="","",IF(Table1323[[#This Row],[Controls Rebate]]="",0,Table1323[[#This Row],[Controls Rebate]])+Table1323[[#This Row],[Lighting Rebate]]),"")</f>
        <v/>
      </c>
      <c r="T7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71" s="213">
        <f>IFERROR(Table1323[[#This Row],[Rebate kW Savings]]*Table1323[[#This Row],[Annual hours from space type]],0)</f>
        <v>0</v>
      </c>
      <c r="V7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71" s="213">
        <f>Table1323[[#This Row],[Rebate kWh savings]]+Table1323[[#This Row],[Controls Rebate kWh Savings]]</f>
        <v>0</v>
      </c>
      <c r="X71" s="214" t="str">
        <f>IFERROR(IF(Table1323[[#This Row],[Quantity of luminaires or lamps]]="","",Table1323[[#This Row],[Rebate kW Savings]]),0)</f>
        <v/>
      </c>
      <c r="Y71" s="215" t="str">
        <f>IFERROR(IF(Table1323[[#This Row],[Quantity of luminaires or lamps]]="","",Table1323[[#This Row],[Total Lighting Rebate Energy Savings]]),0)</f>
        <v/>
      </c>
      <c r="Z71" s="207"/>
      <c r="AA71" s="18" t="str">
        <f>IF(Table1323[[#This Row],[Selected for Implementation]]="Yes",IF(Table1323[[#This Row],[No]]="","",(CONCATENATE("Light_"&amp;Table1323[[#This Row],[Rebate Category]]&amp;Table1323[[#This Row],[LED lamp/luminaire retrofit part '#]]))),"")</f>
        <v/>
      </c>
      <c r="AB71" s="20" t="str" cm="1">
        <f t="array" ref="AB71">IFERROR(IF(Table1323[[#This Row],[Annual hours from space type]]&gt;=Table14[],Table1323[[#This Row],[Demand Savings, kW]],0),0)</f>
        <v/>
      </c>
      <c r="AC71" s="19" t="str">
        <f>IFERROR(INDEX(Table1[BC Hydro xRM ECM],MATCH(Table1323[[#This Row],[Rebate Category]],Table1[BC Hydro Rebate Category],0)),"")</f>
        <v/>
      </c>
      <c r="AD71" s="18">
        <f>IF(Table1323[[#This Row],[Selected for Implementation]]="Yes",1,0)</f>
        <v>0</v>
      </c>
      <c r="AE71" s="18" t="e">
        <f>Table1323[[#This Row],[Implement]]*Table1323[[#This Row],[Demand Savings, kW]]</f>
        <v>#VALUE!</v>
      </c>
      <c r="AF71" s="18" t="e">
        <f>Table1323[[#This Row],[Implement]]*Table1323[[#This Row],[BCH Peak kW]]</f>
        <v>#VALUE!</v>
      </c>
      <c r="AG71" s="18">
        <f>Table1323[[#This Row],[Implement]]*Table1323[[#This Row],[Rebate kWh savings]]</f>
        <v>0</v>
      </c>
      <c r="AH71" s="18">
        <f>Table1323[[#This Row],[Implement]]*Table1323[[#This Row],[Controls Rebate kWh Savings]]</f>
        <v>0</v>
      </c>
      <c r="AI71" s="233">
        <f>Table1323[[#This Row],[Implement]]*Table1323[[#This Row],[Controls Rebate]]</f>
        <v>0</v>
      </c>
      <c r="AJ71" s="569">
        <f>IF(Table1323[[#This Row],[iControls Incentives]]&gt;0,Table1323[[#This Row],[Number of  sensors]],0)</f>
        <v>0</v>
      </c>
      <c r="AK71" s="233">
        <f>Table1323[[#This Row],[Implement]]*Table1323[[#This Row],[Lighting Rebate]]</f>
        <v>0</v>
      </c>
    </row>
    <row r="72" spans="2:37" ht="32.15" customHeight="1" x14ac:dyDescent="0.3">
      <c r="B72" s="17" t="str">
        <f>IF(Table1323[[#This Row],[Space Type]]="","","L-"&amp;ROW(66:66))</f>
        <v/>
      </c>
      <c r="C72" s="206"/>
      <c r="D72" s="207"/>
      <c r="E72" s="207"/>
      <c r="F72" s="207"/>
      <c r="G72" s="208" t="str">
        <f>IFERROR(IF(Table1323[[#This Row],[No]]="","",IF(Table1323[[#This Row],[Space Type]]="","select Space Type",INDEX(Table5[Hours],MATCH(Table1323[[#This Row],[Space Type]],Table5[Space Type],0)))),"")</f>
        <v/>
      </c>
      <c r="H72" s="207"/>
      <c r="I72" s="207"/>
      <c r="J72" s="613" t="str">
        <f>IFERROR(INDEX(Table1[Integrated Controls Capable],MATCH(Table1323[[#This Row],[Rebate Category]],Table1[BC Hydro Rebate Category],0)),"")</f>
        <v/>
      </c>
      <c r="K72" s="207"/>
      <c r="L72" s="572" t="str" cm="1">
        <f t="array" ref="L72">IFERROR(INDEX(Table1[Rebate],MATCH(Table1323[[#This Row],[Rebate Category]],Table1[BC Hydro Rebate Category],0))+IF(AND(Table1323[[#This Row],[Integrated Controls Capable]],Table1323[[#This Row],[Fixture Integrated Occupancy/Daylight Harvesting Sensors?]]="Yes"),Table6[],0),"")</f>
        <v/>
      </c>
      <c r="M72" s="574" t="str">
        <f>IFERROR(IF(AND(Table1323[[#This Row],[Integrated Controls Capable]],Table1323[[#This Row],[Fixture Integrated Occupancy/Daylight Harvesting Sensors?]]="Yes"),"per integrated luminaire", INDEX(Table1[Rebate Unit],MATCH(Table1323[[#This Row],[Rebate Category]],Table1[BC Hydro Rebate Category],0))),"")</f>
        <v/>
      </c>
      <c r="N72" s="207"/>
      <c r="O72" s="207"/>
      <c r="P72" s="206"/>
      <c r="Q72" s="209">
        <f>IFERROR(Table1323[[#This Row],[Rebate per luminaire, ($)]]*Table1323[[#This Row],[Quantity of luminaires or lamps]],0)</f>
        <v>0</v>
      </c>
      <c r="R7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72" s="211" t="str">
        <f>IFERROR(IF(Table1323[[#This Row],[Quantity of luminaires or lamps]]="","",IF(Table1323[[#This Row],[Controls Rebate]]="",0,Table1323[[#This Row],[Controls Rebate]])+Table1323[[#This Row],[Lighting Rebate]]),"")</f>
        <v/>
      </c>
      <c r="T7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72" s="213">
        <f>IFERROR(Table1323[[#This Row],[Rebate kW Savings]]*Table1323[[#This Row],[Annual hours from space type]],0)</f>
        <v>0</v>
      </c>
      <c r="V7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72" s="213">
        <f>Table1323[[#This Row],[Rebate kWh savings]]+Table1323[[#This Row],[Controls Rebate kWh Savings]]</f>
        <v>0</v>
      </c>
      <c r="X72" s="214" t="str">
        <f>IFERROR(IF(Table1323[[#This Row],[Quantity of luminaires or lamps]]="","",Table1323[[#This Row],[Rebate kW Savings]]),0)</f>
        <v/>
      </c>
      <c r="Y72" s="215" t="str">
        <f>IFERROR(IF(Table1323[[#This Row],[Quantity of luminaires or lamps]]="","",Table1323[[#This Row],[Total Lighting Rebate Energy Savings]]),0)</f>
        <v/>
      </c>
      <c r="Z72" s="207"/>
      <c r="AA72" s="18" t="str">
        <f>IF(Table1323[[#This Row],[Selected for Implementation]]="Yes",IF(Table1323[[#This Row],[No]]="","",(CONCATENATE("Light_"&amp;Table1323[[#This Row],[Rebate Category]]&amp;Table1323[[#This Row],[LED lamp/luminaire retrofit part '#]]))),"")</f>
        <v/>
      </c>
      <c r="AB72" s="20" t="str" cm="1">
        <f t="array" ref="AB72">IFERROR(IF(Table1323[[#This Row],[Annual hours from space type]]&gt;=Table14[],Table1323[[#This Row],[Demand Savings, kW]],0),0)</f>
        <v/>
      </c>
      <c r="AC72" s="19" t="str">
        <f>IFERROR(INDEX(Table1[BC Hydro xRM ECM],MATCH(Table1323[[#This Row],[Rebate Category]],Table1[BC Hydro Rebate Category],0)),"")</f>
        <v/>
      </c>
      <c r="AD72" s="18">
        <f>IF(Table1323[[#This Row],[Selected for Implementation]]="Yes",1,0)</f>
        <v>0</v>
      </c>
      <c r="AE72" s="18" t="e">
        <f>Table1323[[#This Row],[Implement]]*Table1323[[#This Row],[Demand Savings, kW]]</f>
        <v>#VALUE!</v>
      </c>
      <c r="AF72" s="18" t="e">
        <f>Table1323[[#This Row],[Implement]]*Table1323[[#This Row],[BCH Peak kW]]</f>
        <v>#VALUE!</v>
      </c>
      <c r="AG72" s="18">
        <f>Table1323[[#This Row],[Implement]]*Table1323[[#This Row],[Rebate kWh savings]]</f>
        <v>0</v>
      </c>
      <c r="AH72" s="18">
        <f>Table1323[[#This Row],[Implement]]*Table1323[[#This Row],[Controls Rebate kWh Savings]]</f>
        <v>0</v>
      </c>
      <c r="AI72" s="233">
        <f>Table1323[[#This Row],[Implement]]*Table1323[[#This Row],[Controls Rebate]]</f>
        <v>0</v>
      </c>
      <c r="AJ72" s="569">
        <f>IF(Table1323[[#This Row],[iControls Incentives]]&gt;0,Table1323[[#This Row],[Number of  sensors]],0)</f>
        <v>0</v>
      </c>
      <c r="AK72" s="233">
        <f>Table1323[[#This Row],[Implement]]*Table1323[[#This Row],[Lighting Rebate]]</f>
        <v>0</v>
      </c>
    </row>
    <row r="73" spans="2:37" ht="32.15" customHeight="1" x14ac:dyDescent="0.3">
      <c r="B73" s="17" t="str">
        <f>IF(Table1323[[#This Row],[Space Type]]="","","L-"&amp;ROW(67:67))</f>
        <v/>
      </c>
      <c r="C73" s="206"/>
      <c r="D73" s="207"/>
      <c r="E73" s="207"/>
      <c r="F73" s="207"/>
      <c r="G73" s="208" t="str">
        <f>IFERROR(IF(Table1323[[#This Row],[No]]="","",IF(Table1323[[#This Row],[Space Type]]="","select Space Type",INDEX(Table5[Hours],MATCH(Table1323[[#This Row],[Space Type]],Table5[Space Type],0)))),"")</f>
        <v/>
      </c>
      <c r="H73" s="207"/>
      <c r="I73" s="207"/>
      <c r="J73" s="613" t="str">
        <f>IFERROR(INDEX(Table1[Integrated Controls Capable],MATCH(Table1323[[#This Row],[Rebate Category]],Table1[BC Hydro Rebate Category],0)),"")</f>
        <v/>
      </c>
      <c r="K73" s="207"/>
      <c r="L73" s="572" t="str" cm="1">
        <f t="array" ref="L73">IFERROR(INDEX(Table1[Rebate],MATCH(Table1323[[#This Row],[Rebate Category]],Table1[BC Hydro Rebate Category],0))+IF(AND(Table1323[[#This Row],[Integrated Controls Capable]],Table1323[[#This Row],[Fixture Integrated Occupancy/Daylight Harvesting Sensors?]]="Yes"),Table6[],0),"")</f>
        <v/>
      </c>
      <c r="M73" s="574" t="str">
        <f>IFERROR(IF(AND(Table1323[[#This Row],[Integrated Controls Capable]],Table1323[[#This Row],[Fixture Integrated Occupancy/Daylight Harvesting Sensors?]]="Yes"),"per integrated luminaire", INDEX(Table1[Rebate Unit],MATCH(Table1323[[#This Row],[Rebate Category]],Table1[BC Hydro Rebate Category],0))),"")</f>
        <v/>
      </c>
      <c r="N73" s="207"/>
      <c r="O73" s="207"/>
      <c r="P73" s="206"/>
      <c r="Q73" s="209">
        <f>IFERROR(Table1323[[#This Row],[Rebate per luminaire, ($)]]*Table1323[[#This Row],[Quantity of luminaires or lamps]],0)</f>
        <v>0</v>
      </c>
      <c r="R7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73" s="211" t="str">
        <f>IFERROR(IF(Table1323[[#This Row],[Quantity of luminaires or lamps]]="","",IF(Table1323[[#This Row],[Controls Rebate]]="",0,Table1323[[#This Row],[Controls Rebate]])+Table1323[[#This Row],[Lighting Rebate]]),"")</f>
        <v/>
      </c>
      <c r="T7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73" s="213">
        <f>IFERROR(Table1323[[#This Row],[Rebate kW Savings]]*Table1323[[#This Row],[Annual hours from space type]],0)</f>
        <v>0</v>
      </c>
      <c r="V7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73" s="213">
        <f>Table1323[[#This Row],[Rebate kWh savings]]+Table1323[[#This Row],[Controls Rebate kWh Savings]]</f>
        <v>0</v>
      </c>
      <c r="X73" s="214" t="str">
        <f>IFERROR(IF(Table1323[[#This Row],[Quantity of luminaires or lamps]]="","",Table1323[[#This Row],[Rebate kW Savings]]),0)</f>
        <v/>
      </c>
      <c r="Y73" s="215" t="str">
        <f>IFERROR(IF(Table1323[[#This Row],[Quantity of luminaires or lamps]]="","",Table1323[[#This Row],[Total Lighting Rebate Energy Savings]]),0)</f>
        <v/>
      </c>
      <c r="Z73" s="207"/>
      <c r="AA73" s="18" t="str">
        <f>IF(Table1323[[#This Row],[Selected for Implementation]]="Yes",IF(Table1323[[#This Row],[No]]="","",(CONCATENATE("Light_"&amp;Table1323[[#This Row],[Rebate Category]]&amp;Table1323[[#This Row],[LED lamp/luminaire retrofit part '#]]))),"")</f>
        <v/>
      </c>
      <c r="AB73" s="20" t="str" cm="1">
        <f t="array" ref="AB73">IFERROR(IF(Table1323[[#This Row],[Annual hours from space type]]&gt;=Table14[],Table1323[[#This Row],[Demand Savings, kW]],0),0)</f>
        <v/>
      </c>
      <c r="AC73" s="19" t="str">
        <f>IFERROR(INDEX(Table1[BC Hydro xRM ECM],MATCH(Table1323[[#This Row],[Rebate Category]],Table1[BC Hydro Rebate Category],0)),"")</f>
        <v/>
      </c>
      <c r="AD73" s="18">
        <f>IF(Table1323[[#This Row],[Selected for Implementation]]="Yes",1,0)</f>
        <v>0</v>
      </c>
      <c r="AE73" s="18" t="e">
        <f>Table1323[[#This Row],[Implement]]*Table1323[[#This Row],[Demand Savings, kW]]</f>
        <v>#VALUE!</v>
      </c>
      <c r="AF73" s="18" t="e">
        <f>Table1323[[#This Row],[Implement]]*Table1323[[#This Row],[BCH Peak kW]]</f>
        <v>#VALUE!</v>
      </c>
      <c r="AG73" s="18">
        <f>Table1323[[#This Row],[Implement]]*Table1323[[#This Row],[Rebate kWh savings]]</f>
        <v>0</v>
      </c>
      <c r="AH73" s="18">
        <f>Table1323[[#This Row],[Implement]]*Table1323[[#This Row],[Controls Rebate kWh Savings]]</f>
        <v>0</v>
      </c>
      <c r="AI73" s="233">
        <f>Table1323[[#This Row],[Implement]]*Table1323[[#This Row],[Controls Rebate]]</f>
        <v>0</v>
      </c>
      <c r="AJ73" s="569">
        <f>IF(Table1323[[#This Row],[iControls Incentives]]&gt;0,Table1323[[#This Row],[Number of  sensors]],0)</f>
        <v>0</v>
      </c>
      <c r="AK73" s="233">
        <f>Table1323[[#This Row],[Implement]]*Table1323[[#This Row],[Lighting Rebate]]</f>
        <v>0</v>
      </c>
    </row>
    <row r="74" spans="2:37" ht="32.15" customHeight="1" x14ac:dyDescent="0.3">
      <c r="B74" s="17" t="str">
        <f>IF(Table1323[[#This Row],[Space Type]]="","","L-"&amp;ROW(68:68))</f>
        <v/>
      </c>
      <c r="C74" s="206"/>
      <c r="D74" s="207"/>
      <c r="E74" s="207"/>
      <c r="F74" s="207"/>
      <c r="G74" s="208" t="str">
        <f>IFERROR(IF(Table1323[[#This Row],[No]]="","",IF(Table1323[[#This Row],[Space Type]]="","select Space Type",INDEX(Table5[Hours],MATCH(Table1323[[#This Row],[Space Type]],Table5[Space Type],0)))),"")</f>
        <v/>
      </c>
      <c r="H74" s="207"/>
      <c r="I74" s="207"/>
      <c r="J74" s="613" t="str">
        <f>IFERROR(INDEX(Table1[Integrated Controls Capable],MATCH(Table1323[[#This Row],[Rebate Category]],Table1[BC Hydro Rebate Category],0)),"")</f>
        <v/>
      </c>
      <c r="K74" s="207"/>
      <c r="L74" s="572" t="str" cm="1">
        <f t="array" ref="L74">IFERROR(INDEX(Table1[Rebate],MATCH(Table1323[[#This Row],[Rebate Category]],Table1[BC Hydro Rebate Category],0))+IF(AND(Table1323[[#This Row],[Integrated Controls Capable]],Table1323[[#This Row],[Fixture Integrated Occupancy/Daylight Harvesting Sensors?]]="Yes"),Table6[],0),"")</f>
        <v/>
      </c>
      <c r="M74" s="574" t="str">
        <f>IFERROR(IF(AND(Table1323[[#This Row],[Integrated Controls Capable]],Table1323[[#This Row],[Fixture Integrated Occupancy/Daylight Harvesting Sensors?]]="Yes"),"per integrated luminaire", INDEX(Table1[Rebate Unit],MATCH(Table1323[[#This Row],[Rebate Category]],Table1[BC Hydro Rebate Category],0))),"")</f>
        <v/>
      </c>
      <c r="N74" s="207"/>
      <c r="O74" s="207"/>
      <c r="P74" s="206"/>
      <c r="Q74" s="209">
        <f>IFERROR(Table1323[[#This Row],[Rebate per luminaire, ($)]]*Table1323[[#This Row],[Quantity of luminaires or lamps]],0)</f>
        <v>0</v>
      </c>
      <c r="R7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74" s="211" t="str">
        <f>IFERROR(IF(Table1323[[#This Row],[Quantity of luminaires or lamps]]="","",IF(Table1323[[#This Row],[Controls Rebate]]="",0,Table1323[[#This Row],[Controls Rebate]])+Table1323[[#This Row],[Lighting Rebate]]),"")</f>
        <v/>
      </c>
      <c r="T7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74" s="213">
        <f>IFERROR(Table1323[[#This Row],[Rebate kW Savings]]*Table1323[[#This Row],[Annual hours from space type]],0)</f>
        <v>0</v>
      </c>
      <c r="V7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74" s="213">
        <f>Table1323[[#This Row],[Rebate kWh savings]]+Table1323[[#This Row],[Controls Rebate kWh Savings]]</f>
        <v>0</v>
      </c>
      <c r="X74" s="214" t="str">
        <f>IFERROR(IF(Table1323[[#This Row],[Quantity of luminaires or lamps]]="","",Table1323[[#This Row],[Rebate kW Savings]]),0)</f>
        <v/>
      </c>
      <c r="Y74" s="215" t="str">
        <f>IFERROR(IF(Table1323[[#This Row],[Quantity of luminaires or lamps]]="","",Table1323[[#This Row],[Total Lighting Rebate Energy Savings]]),0)</f>
        <v/>
      </c>
      <c r="Z74" s="207"/>
      <c r="AA74" s="18" t="str">
        <f>IF(Table1323[[#This Row],[Selected for Implementation]]="Yes",IF(Table1323[[#This Row],[No]]="","",(CONCATENATE("Light_"&amp;Table1323[[#This Row],[Rebate Category]]&amp;Table1323[[#This Row],[LED lamp/luminaire retrofit part '#]]))),"")</f>
        <v/>
      </c>
      <c r="AB74" s="20" t="str" cm="1">
        <f t="array" ref="AB74">IFERROR(IF(Table1323[[#This Row],[Annual hours from space type]]&gt;=Table14[],Table1323[[#This Row],[Demand Savings, kW]],0),0)</f>
        <v/>
      </c>
      <c r="AC74" s="19" t="str">
        <f>IFERROR(INDEX(Table1[BC Hydro xRM ECM],MATCH(Table1323[[#This Row],[Rebate Category]],Table1[BC Hydro Rebate Category],0)),"")</f>
        <v/>
      </c>
      <c r="AD74" s="18">
        <f>IF(Table1323[[#This Row],[Selected for Implementation]]="Yes",1,0)</f>
        <v>0</v>
      </c>
      <c r="AE74" s="18" t="e">
        <f>Table1323[[#This Row],[Implement]]*Table1323[[#This Row],[Demand Savings, kW]]</f>
        <v>#VALUE!</v>
      </c>
      <c r="AF74" s="18" t="e">
        <f>Table1323[[#This Row],[Implement]]*Table1323[[#This Row],[BCH Peak kW]]</f>
        <v>#VALUE!</v>
      </c>
      <c r="AG74" s="18">
        <f>Table1323[[#This Row],[Implement]]*Table1323[[#This Row],[Rebate kWh savings]]</f>
        <v>0</v>
      </c>
      <c r="AH74" s="18">
        <f>Table1323[[#This Row],[Implement]]*Table1323[[#This Row],[Controls Rebate kWh Savings]]</f>
        <v>0</v>
      </c>
      <c r="AI74" s="233">
        <f>Table1323[[#This Row],[Implement]]*Table1323[[#This Row],[Controls Rebate]]</f>
        <v>0</v>
      </c>
      <c r="AJ74" s="569">
        <f>IF(Table1323[[#This Row],[iControls Incentives]]&gt;0,Table1323[[#This Row],[Number of  sensors]],0)</f>
        <v>0</v>
      </c>
      <c r="AK74" s="233">
        <f>Table1323[[#This Row],[Implement]]*Table1323[[#This Row],[Lighting Rebate]]</f>
        <v>0</v>
      </c>
    </row>
    <row r="75" spans="2:37" ht="32.15" customHeight="1" x14ac:dyDescent="0.3">
      <c r="B75" s="17" t="str">
        <f>IF(Table1323[[#This Row],[Space Type]]="","","L-"&amp;ROW(69:69))</f>
        <v/>
      </c>
      <c r="C75" s="206"/>
      <c r="D75" s="207"/>
      <c r="E75" s="207"/>
      <c r="F75" s="207"/>
      <c r="G75" s="208" t="str">
        <f>IFERROR(IF(Table1323[[#This Row],[No]]="","",IF(Table1323[[#This Row],[Space Type]]="","select Space Type",INDEX(Table5[Hours],MATCH(Table1323[[#This Row],[Space Type]],Table5[Space Type],0)))),"")</f>
        <v/>
      </c>
      <c r="H75" s="207"/>
      <c r="I75" s="207"/>
      <c r="J75" s="613" t="str">
        <f>IFERROR(INDEX(Table1[Integrated Controls Capable],MATCH(Table1323[[#This Row],[Rebate Category]],Table1[BC Hydro Rebate Category],0)),"")</f>
        <v/>
      </c>
      <c r="K75" s="207"/>
      <c r="L75" s="572" t="str" cm="1">
        <f t="array" ref="L75">IFERROR(INDEX(Table1[Rebate],MATCH(Table1323[[#This Row],[Rebate Category]],Table1[BC Hydro Rebate Category],0))+IF(AND(Table1323[[#This Row],[Integrated Controls Capable]],Table1323[[#This Row],[Fixture Integrated Occupancy/Daylight Harvesting Sensors?]]="Yes"),Table6[],0),"")</f>
        <v/>
      </c>
      <c r="M75" s="574" t="str">
        <f>IFERROR(IF(AND(Table1323[[#This Row],[Integrated Controls Capable]],Table1323[[#This Row],[Fixture Integrated Occupancy/Daylight Harvesting Sensors?]]="Yes"),"per integrated luminaire", INDEX(Table1[Rebate Unit],MATCH(Table1323[[#This Row],[Rebate Category]],Table1[BC Hydro Rebate Category],0))),"")</f>
        <v/>
      </c>
      <c r="N75" s="207"/>
      <c r="O75" s="207"/>
      <c r="P75" s="206"/>
      <c r="Q75" s="209">
        <f>IFERROR(Table1323[[#This Row],[Rebate per luminaire, ($)]]*Table1323[[#This Row],[Quantity of luminaires or lamps]],0)</f>
        <v>0</v>
      </c>
      <c r="R7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75" s="211" t="str">
        <f>IFERROR(IF(Table1323[[#This Row],[Quantity of luminaires or lamps]]="","",IF(Table1323[[#This Row],[Controls Rebate]]="",0,Table1323[[#This Row],[Controls Rebate]])+Table1323[[#This Row],[Lighting Rebate]]),"")</f>
        <v/>
      </c>
      <c r="T7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75" s="213">
        <f>IFERROR(Table1323[[#This Row],[Rebate kW Savings]]*Table1323[[#This Row],[Annual hours from space type]],0)</f>
        <v>0</v>
      </c>
      <c r="V7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75" s="213">
        <f>Table1323[[#This Row],[Rebate kWh savings]]+Table1323[[#This Row],[Controls Rebate kWh Savings]]</f>
        <v>0</v>
      </c>
      <c r="X75" s="214" t="str">
        <f>IFERROR(IF(Table1323[[#This Row],[Quantity of luminaires or lamps]]="","",Table1323[[#This Row],[Rebate kW Savings]]),0)</f>
        <v/>
      </c>
      <c r="Y75" s="215" t="str">
        <f>IFERROR(IF(Table1323[[#This Row],[Quantity of luminaires or lamps]]="","",Table1323[[#This Row],[Total Lighting Rebate Energy Savings]]),0)</f>
        <v/>
      </c>
      <c r="Z75" s="207"/>
      <c r="AA75" s="18" t="str">
        <f>IF(Table1323[[#This Row],[Selected for Implementation]]="Yes",IF(Table1323[[#This Row],[No]]="","",(CONCATENATE("Light_"&amp;Table1323[[#This Row],[Rebate Category]]&amp;Table1323[[#This Row],[LED lamp/luminaire retrofit part '#]]))),"")</f>
        <v/>
      </c>
      <c r="AB75" s="20" t="str" cm="1">
        <f t="array" ref="AB75">IFERROR(IF(Table1323[[#This Row],[Annual hours from space type]]&gt;=Table14[],Table1323[[#This Row],[Demand Savings, kW]],0),0)</f>
        <v/>
      </c>
      <c r="AC75" s="19" t="str">
        <f>IFERROR(INDEX(Table1[BC Hydro xRM ECM],MATCH(Table1323[[#This Row],[Rebate Category]],Table1[BC Hydro Rebate Category],0)),"")</f>
        <v/>
      </c>
      <c r="AD75" s="18">
        <f>IF(Table1323[[#This Row],[Selected for Implementation]]="Yes",1,0)</f>
        <v>0</v>
      </c>
      <c r="AE75" s="18" t="e">
        <f>Table1323[[#This Row],[Implement]]*Table1323[[#This Row],[Demand Savings, kW]]</f>
        <v>#VALUE!</v>
      </c>
      <c r="AF75" s="18" t="e">
        <f>Table1323[[#This Row],[Implement]]*Table1323[[#This Row],[BCH Peak kW]]</f>
        <v>#VALUE!</v>
      </c>
      <c r="AG75" s="18">
        <f>Table1323[[#This Row],[Implement]]*Table1323[[#This Row],[Rebate kWh savings]]</f>
        <v>0</v>
      </c>
      <c r="AH75" s="18">
        <f>Table1323[[#This Row],[Implement]]*Table1323[[#This Row],[Controls Rebate kWh Savings]]</f>
        <v>0</v>
      </c>
      <c r="AI75" s="233">
        <f>Table1323[[#This Row],[Implement]]*Table1323[[#This Row],[Controls Rebate]]</f>
        <v>0</v>
      </c>
      <c r="AJ75" s="569">
        <f>IF(Table1323[[#This Row],[iControls Incentives]]&gt;0,Table1323[[#This Row],[Number of  sensors]],0)</f>
        <v>0</v>
      </c>
      <c r="AK75" s="233">
        <f>Table1323[[#This Row],[Implement]]*Table1323[[#This Row],[Lighting Rebate]]</f>
        <v>0</v>
      </c>
    </row>
    <row r="76" spans="2:37" ht="32.15" customHeight="1" x14ac:dyDescent="0.3">
      <c r="B76" s="17" t="str">
        <f>IF(Table1323[[#This Row],[Space Type]]="","","L-"&amp;ROW(70:70))</f>
        <v/>
      </c>
      <c r="C76" s="206"/>
      <c r="D76" s="207"/>
      <c r="E76" s="207"/>
      <c r="F76" s="207"/>
      <c r="G76" s="208" t="str">
        <f>IFERROR(IF(Table1323[[#This Row],[No]]="","",IF(Table1323[[#This Row],[Space Type]]="","select Space Type",INDEX(Table5[Hours],MATCH(Table1323[[#This Row],[Space Type]],Table5[Space Type],0)))),"")</f>
        <v/>
      </c>
      <c r="H76" s="207"/>
      <c r="I76" s="207"/>
      <c r="J76" s="613" t="str">
        <f>IFERROR(INDEX(Table1[Integrated Controls Capable],MATCH(Table1323[[#This Row],[Rebate Category]],Table1[BC Hydro Rebate Category],0)),"")</f>
        <v/>
      </c>
      <c r="K76" s="207"/>
      <c r="L76" s="572" t="str" cm="1">
        <f t="array" ref="L76">IFERROR(INDEX(Table1[Rebate],MATCH(Table1323[[#This Row],[Rebate Category]],Table1[BC Hydro Rebate Category],0))+IF(AND(Table1323[[#This Row],[Integrated Controls Capable]],Table1323[[#This Row],[Fixture Integrated Occupancy/Daylight Harvesting Sensors?]]="Yes"),Table6[],0),"")</f>
        <v/>
      </c>
      <c r="M76" s="574" t="str">
        <f>IFERROR(IF(AND(Table1323[[#This Row],[Integrated Controls Capable]],Table1323[[#This Row],[Fixture Integrated Occupancy/Daylight Harvesting Sensors?]]="Yes"),"per integrated luminaire", INDEX(Table1[Rebate Unit],MATCH(Table1323[[#This Row],[Rebate Category]],Table1[BC Hydro Rebate Category],0))),"")</f>
        <v/>
      </c>
      <c r="N76" s="207"/>
      <c r="O76" s="207"/>
      <c r="P76" s="206"/>
      <c r="Q76" s="209">
        <f>IFERROR(Table1323[[#This Row],[Rebate per luminaire, ($)]]*Table1323[[#This Row],[Quantity of luminaires or lamps]],0)</f>
        <v>0</v>
      </c>
      <c r="R7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76" s="211" t="str">
        <f>IFERROR(IF(Table1323[[#This Row],[Quantity of luminaires or lamps]]="","",IF(Table1323[[#This Row],[Controls Rebate]]="",0,Table1323[[#This Row],[Controls Rebate]])+Table1323[[#This Row],[Lighting Rebate]]),"")</f>
        <v/>
      </c>
      <c r="T7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76" s="213">
        <f>IFERROR(Table1323[[#This Row],[Rebate kW Savings]]*Table1323[[#This Row],[Annual hours from space type]],0)</f>
        <v>0</v>
      </c>
      <c r="V7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76" s="213">
        <f>Table1323[[#This Row],[Rebate kWh savings]]+Table1323[[#This Row],[Controls Rebate kWh Savings]]</f>
        <v>0</v>
      </c>
      <c r="X76" s="214" t="str">
        <f>IFERROR(IF(Table1323[[#This Row],[Quantity of luminaires or lamps]]="","",Table1323[[#This Row],[Rebate kW Savings]]),0)</f>
        <v/>
      </c>
      <c r="Y76" s="215" t="str">
        <f>IFERROR(IF(Table1323[[#This Row],[Quantity of luminaires or lamps]]="","",Table1323[[#This Row],[Total Lighting Rebate Energy Savings]]),0)</f>
        <v/>
      </c>
      <c r="Z76" s="207"/>
      <c r="AA76" s="18" t="str">
        <f>IF(Table1323[[#This Row],[Selected for Implementation]]="Yes",IF(Table1323[[#This Row],[No]]="","",(CONCATENATE("Light_"&amp;Table1323[[#This Row],[Rebate Category]]&amp;Table1323[[#This Row],[LED lamp/luminaire retrofit part '#]]))),"")</f>
        <v/>
      </c>
      <c r="AB76" s="20" t="str" cm="1">
        <f t="array" ref="AB76">IFERROR(IF(Table1323[[#This Row],[Annual hours from space type]]&gt;=Table14[],Table1323[[#This Row],[Demand Savings, kW]],0),0)</f>
        <v/>
      </c>
      <c r="AC76" s="19" t="str">
        <f>IFERROR(INDEX(Table1[BC Hydro xRM ECM],MATCH(Table1323[[#This Row],[Rebate Category]],Table1[BC Hydro Rebate Category],0)),"")</f>
        <v/>
      </c>
      <c r="AD76" s="18">
        <f>IF(Table1323[[#This Row],[Selected for Implementation]]="Yes",1,0)</f>
        <v>0</v>
      </c>
      <c r="AE76" s="18" t="e">
        <f>Table1323[[#This Row],[Implement]]*Table1323[[#This Row],[Demand Savings, kW]]</f>
        <v>#VALUE!</v>
      </c>
      <c r="AF76" s="18" t="e">
        <f>Table1323[[#This Row],[Implement]]*Table1323[[#This Row],[BCH Peak kW]]</f>
        <v>#VALUE!</v>
      </c>
      <c r="AG76" s="18">
        <f>Table1323[[#This Row],[Implement]]*Table1323[[#This Row],[Rebate kWh savings]]</f>
        <v>0</v>
      </c>
      <c r="AH76" s="18">
        <f>Table1323[[#This Row],[Implement]]*Table1323[[#This Row],[Controls Rebate kWh Savings]]</f>
        <v>0</v>
      </c>
      <c r="AI76" s="233">
        <f>Table1323[[#This Row],[Implement]]*Table1323[[#This Row],[Controls Rebate]]</f>
        <v>0</v>
      </c>
      <c r="AJ76" s="569">
        <f>IF(Table1323[[#This Row],[iControls Incentives]]&gt;0,Table1323[[#This Row],[Number of  sensors]],0)</f>
        <v>0</v>
      </c>
      <c r="AK76" s="233">
        <f>Table1323[[#This Row],[Implement]]*Table1323[[#This Row],[Lighting Rebate]]</f>
        <v>0</v>
      </c>
    </row>
    <row r="77" spans="2:37" ht="32.15" customHeight="1" x14ac:dyDescent="0.3">
      <c r="B77" s="17" t="str">
        <f>IF(Table1323[[#This Row],[Space Type]]="","","L-"&amp;ROW(71:71))</f>
        <v/>
      </c>
      <c r="C77" s="206"/>
      <c r="D77" s="207"/>
      <c r="E77" s="207"/>
      <c r="F77" s="207"/>
      <c r="G77" s="208" t="str">
        <f>IFERROR(IF(Table1323[[#This Row],[No]]="","",IF(Table1323[[#This Row],[Space Type]]="","select Space Type",INDEX(Table5[Hours],MATCH(Table1323[[#This Row],[Space Type]],Table5[Space Type],0)))),"")</f>
        <v/>
      </c>
      <c r="H77" s="207"/>
      <c r="I77" s="207"/>
      <c r="J77" s="613" t="str">
        <f>IFERROR(INDEX(Table1[Integrated Controls Capable],MATCH(Table1323[[#This Row],[Rebate Category]],Table1[BC Hydro Rebate Category],0)),"")</f>
        <v/>
      </c>
      <c r="K77" s="207"/>
      <c r="L77" s="572" t="str" cm="1">
        <f t="array" ref="L77">IFERROR(INDEX(Table1[Rebate],MATCH(Table1323[[#This Row],[Rebate Category]],Table1[BC Hydro Rebate Category],0))+IF(AND(Table1323[[#This Row],[Integrated Controls Capable]],Table1323[[#This Row],[Fixture Integrated Occupancy/Daylight Harvesting Sensors?]]="Yes"),Table6[],0),"")</f>
        <v/>
      </c>
      <c r="M77" s="574" t="str">
        <f>IFERROR(IF(AND(Table1323[[#This Row],[Integrated Controls Capable]],Table1323[[#This Row],[Fixture Integrated Occupancy/Daylight Harvesting Sensors?]]="Yes"),"per integrated luminaire", INDEX(Table1[Rebate Unit],MATCH(Table1323[[#This Row],[Rebate Category]],Table1[BC Hydro Rebate Category],0))),"")</f>
        <v/>
      </c>
      <c r="N77" s="207"/>
      <c r="O77" s="207"/>
      <c r="P77" s="206"/>
      <c r="Q77" s="209">
        <f>IFERROR(Table1323[[#This Row],[Rebate per luminaire, ($)]]*Table1323[[#This Row],[Quantity of luminaires or lamps]],0)</f>
        <v>0</v>
      </c>
      <c r="R7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77" s="211" t="str">
        <f>IFERROR(IF(Table1323[[#This Row],[Quantity of luminaires or lamps]]="","",IF(Table1323[[#This Row],[Controls Rebate]]="",0,Table1323[[#This Row],[Controls Rebate]])+Table1323[[#This Row],[Lighting Rebate]]),"")</f>
        <v/>
      </c>
      <c r="T7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77" s="213">
        <f>IFERROR(Table1323[[#This Row],[Rebate kW Savings]]*Table1323[[#This Row],[Annual hours from space type]],0)</f>
        <v>0</v>
      </c>
      <c r="V7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77" s="213">
        <f>Table1323[[#This Row],[Rebate kWh savings]]+Table1323[[#This Row],[Controls Rebate kWh Savings]]</f>
        <v>0</v>
      </c>
      <c r="X77" s="214" t="str">
        <f>IFERROR(IF(Table1323[[#This Row],[Quantity of luminaires or lamps]]="","",Table1323[[#This Row],[Rebate kW Savings]]),0)</f>
        <v/>
      </c>
      <c r="Y77" s="215" t="str">
        <f>IFERROR(IF(Table1323[[#This Row],[Quantity of luminaires or lamps]]="","",Table1323[[#This Row],[Total Lighting Rebate Energy Savings]]),0)</f>
        <v/>
      </c>
      <c r="Z77" s="207"/>
      <c r="AA77" s="18" t="str">
        <f>IF(Table1323[[#This Row],[Selected for Implementation]]="Yes",IF(Table1323[[#This Row],[No]]="","",(CONCATENATE("Light_"&amp;Table1323[[#This Row],[Rebate Category]]&amp;Table1323[[#This Row],[LED lamp/luminaire retrofit part '#]]))),"")</f>
        <v/>
      </c>
      <c r="AB77" s="20" t="str" cm="1">
        <f t="array" ref="AB77">IFERROR(IF(Table1323[[#This Row],[Annual hours from space type]]&gt;=Table14[],Table1323[[#This Row],[Demand Savings, kW]],0),0)</f>
        <v/>
      </c>
      <c r="AC77" s="19" t="str">
        <f>IFERROR(INDEX(Table1[BC Hydro xRM ECM],MATCH(Table1323[[#This Row],[Rebate Category]],Table1[BC Hydro Rebate Category],0)),"")</f>
        <v/>
      </c>
      <c r="AD77" s="18">
        <f>IF(Table1323[[#This Row],[Selected for Implementation]]="Yes",1,0)</f>
        <v>0</v>
      </c>
      <c r="AE77" s="18" t="e">
        <f>Table1323[[#This Row],[Implement]]*Table1323[[#This Row],[Demand Savings, kW]]</f>
        <v>#VALUE!</v>
      </c>
      <c r="AF77" s="18" t="e">
        <f>Table1323[[#This Row],[Implement]]*Table1323[[#This Row],[BCH Peak kW]]</f>
        <v>#VALUE!</v>
      </c>
      <c r="AG77" s="18">
        <f>Table1323[[#This Row],[Implement]]*Table1323[[#This Row],[Rebate kWh savings]]</f>
        <v>0</v>
      </c>
      <c r="AH77" s="18">
        <f>Table1323[[#This Row],[Implement]]*Table1323[[#This Row],[Controls Rebate kWh Savings]]</f>
        <v>0</v>
      </c>
      <c r="AI77" s="233">
        <f>Table1323[[#This Row],[Implement]]*Table1323[[#This Row],[Controls Rebate]]</f>
        <v>0</v>
      </c>
      <c r="AJ77" s="569">
        <f>IF(Table1323[[#This Row],[iControls Incentives]]&gt;0,Table1323[[#This Row],[Number of  sensors]],0)</f>
        <v>0</v>
      </c>
      <c r="AK77" s="233">
        <f>Table1323[[#This Row],[Implement]]*Table1323[[#This Row],[Lighting Rebate]]</f>
        <v>0</v>
      </c>
    </row>
    <row r="78" spans="2:37" ht="32.15" customHeight="1" x14ac:dyDescent="0.3">
      <c r="B78" s="17" t="str">
        <f>IF(Table1323[[#This Row],[Space Type]]="","","L-"&amp;ROW(72:72))</f>
        <v/>
      </c>
      <c r="C78" s="206"/>
      <c r="D78" s="207"/>
      <c r="E78" s="207"/>
      <c r="F78" s="207"/>
      <c r="G78" s="208" t="str">
        <f>IFERROR(IF(Table1323[[#This Row],[No]]="","",IF(Table1323[[#This Row],[Space Type]]="","select Space Type",INDEX(Table5[Hours],MATCH(Table1323[[#This Row],[Space Type]],Table5[Space Type],0)))),"")</f>
        <v/>
      </c>
      <c r="H78" s="207"/>
      <c r="I78" s="207"/>
      <c r="J78" s="613" t="str">
        <f>IFERROR(INDEX(Table1[Integrated Controls Capable],MATCH(Table1323[[#This Row],[Rebate Category]],Table1[BC Hydro Rebate Category],0)),"")</f>
        <v/>
      </c>
      <c r="K78" s="207"/>
      <c r="L78" s="572" t="str" cm="1">
        <f t="array" ref="L78">IFERROR(INDEX(Table1[Rebate],MATCH(Table1323[[#This Row],[Rebate Category]],Table1[BC Hydro Rebate Category],0))+IF(AND(Table1323[[#This Row],[Integrated Controls Capable]],Table1323[[#This Row],[Fixture Integrated Occupancy/Daylight Harvesting Sensors?]]="Yes"),Table6[],0),"")</f>
        <v/>
      </c>
      <c r="M78" s="574" t="str">
        <f>IFERROR(IF(AND(Table1323[[#This Row],[Integrated Controls Capable]],Table1323[[#This Row],[Fixture Integrated Occupancy/Daylight Harvesting Sensors?]]="Yes"),"per integrated luminaire", INDEX(Table1[Rebate Unit],MATCH(Table1323[[#This Row],[Rebate Category]],Table1[BC Hydro Rebate Category],0))),"")</f>
        <v/>
      </c>
      <c r="N78" s="207"/>
      <c r="O78" s="207"/>
      <c r="P78" s="206"/>
      <c r="Q78" s="209">
        <f>IFERROR(Table1323[[#This Row],[Rebate per luminaire, ($)]]*Table1323[[#This Row],[Quantity of luminaires or lamps]],0)</f>
        <v>0</v>
      </c>
      <c r="R7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78" s="211" t="str">
        <f>IFERROR(IF(Table1323[[#This Row],[Quantity of luminaires or lamps]]="","",IF(Table1323[[#This Row],[Controls Rebate]]="",0,Table1323[[#This Row],[Controls Rebate]])+Table1323[[#This Row],[Lighting Rebate]]),"")</f>
        <v/>
      </c>
      <c r="T7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78" s="213">
        <f>IFERROR(Table1323[[#This Row],[Rebate kW Savings]]*Table1323[[#This Row],[Annual hours from space type]],0)</f>
        <v>0</v>
      </c>
      <c r="V7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78" s="213">
        <f>Table1323[[#This Row],[Rebate kWh savings]]+Table1323[[#This Row],[Controls Rebate kWh Savings]]</f>
        <v>0</v>
      </c>
      <c r="X78" s="214" t="str">
        <f>IFERROR(IF(Table1323[[#This Row],[Quantity of luminaires or lamps]]="","",Table1323[[#This Row],[Rebate kW Savings]]),0)</f>
        <v/>
      </c>
      <c r="Y78" s="215" t="str">
        <f>IFERROR(IF(Table1323[[#This Row],[Quantity of luminaires or lamps]]="","",Table1323[[#This Row],[Total Lighting Rebate Energy Savings]]),0)</f>
        <v/>
      </c>
      <c r="Z78" s="207"/>
      <c r="AA78" s="18" t="str">
        <f>IF(Table1323[[#This Row],[Selected for Implementation]]="Yes",IF(Table1323[[#This Row],[No]]="","",(CONCATENATE("Light_"&amp;Table1323[[#This Row],[Rebate Category]]&amp;Table1323[[#This Row],[LED lamp/luminaire retrofit part '#]]))),"")</f>
        <v/>
      </c>
      <c r="AB78" s="20" t="str" cm="1">
        <f t="array" ref="AB78">IFERROR(IF(Table1323[[#This Row],[Annual hours from space type]]&gt;=Table14[],Table1323[[#This Row],[Demand Savings, kW]],0),0)</f>
        <v/>
      </c>
      <c r="AC78" s="19" t="str">
        <f>IFERROR(INDEX(Table1[BC Hydro xRM ECM],MATCH(Table1323[[#This Row],[Rebate Category]],Table1[BC Hydro Rebate Category],0)),"")</f>
        <v/>
      </c>
      <c r="AD78" s="18">
        <f>IF(Table1323[[#This Row],[Selected for Implementation]]="Yes",1,0)</f>
        <v>0</v>
      </c>
      <c r="AE78" s="18" t="e">
        <f>Table1323[[#This Row],[Implement]]*Table1323[[#This Row],[Demand Savings, kW]]</f>
        <v>#VALUE!</v>
      </c>
      <c r="AF78" s="18" t="e">
        <f>Table1323[[#This Row],[Implement]]*Table1323[[#This Row],[BCH Peak kW]]</f>
        <v>#VALUE!</v>
      </c>
      <c r="AG78" s="18">
        <f>Table1323[[#This Row],[Implement]]*Table1323[[#This Row],[Rebate kWh savings]]</f>
        <v>0</v>
      </c>
      <c r="AH78" s="18">
        <f>Table1323[[#This Row],[Implement]]*Table1323[[#This Row],[Controls Rebate kWh Savings]]</f>
        <v>0</v>
      </c>
      <c r="AI78" s="233">
        <f>Table1323[[#This Row],[Implement]]*Table1323[[#This Row],[Controls Rebate]]</f>
        <v>0</v>
      </c>
      <c r="AJ78" s="569">
        <f>IF(Table1323[[#This Row],[iControls Incentives]]&gt;0,Table1323[[#This Row],[Number of  sensors]],0)</f>
        <v>0</v>
      </c>
      <c r="AK78" s="233">
        <f>Table1323[[#This Row],[Implement]]*Table1323[[#This Row],[Lighting Rebate]]</f>
        <v>0</v>
      </c>
    </row>
    <row r="79" spans="2:37" ht="32.15" customHeight="1" x14ac:dyDescent="0.3">
      <c r="B79" s="17" t="str">
        <f>IF(Table1323[[#This Row],[Space Type]]="","","L-"&amp;ROW(73:73))</f>
        <v/>
      </c>
      <c r="C79" s="206"/>
      <c r="D79" s="207"/>
      <c r="E79" s="207"/>
      <c r="F79" s="207"/>
      <c r="G79" s="208" t="str">
        <f>IFERROR(IF(Table1323[[#This Row],[No]]="","",IF(Table1323[[#This Row],[Space Type]]="","select Space Type",INDEX(Table5[Hours],MATCH(Table1323[[#This Row],[Space Type]],Table5[Space Type],0)))),"")</f>
        <v/>
      </c>
      <c r="H79" s="207"/>
      <c r="I79" s="207"/>
      <c r="J79" s="613" t="str">
        <f>IFERROR(INDEX(Table1[Integrated Controls Capable],MATCH(Table1323[[#This Row],[Rebate Category]],Table1[BC Hydro Rebate Category],0)),"")</f>
        <v/>
      </c>
      <c r="K79" s="207"/>
      <c r="L79" s="572" t="str" cm="1">
        <f t="array" ref="L79">IFERROR(INDEX(Table1[Rebate],MATCH(Table1323[[#This Row],[Rebate Category]],Table1[BC Hydro Rebate Category],0))+IF(AND(Table1323[[#This Row],[Integrated Controls Capable]],Table1323[[#This Row],[Fixture Integrated Occupancy/Daylight Harvesting Sensors?]]="Yes"),Table6[],0),"")</f>
        <v/>
      </c>
      <c r="M79" s="574" t="str">
        <f>IFERROR(IF(AND(Table1323[[#This Row],[Integrated Controls Capable]],Table1323[[#This Row],[Fixture Integrated Occupancy/Daylight Harvesting Sensors?]]="Yes"),"per integrated luminaire", INDEX(Table1[Rebate Unit],MATCH(Table1323[[#This Row],[Rebate Category]],Table1[BC Hydro Rebate Category],0))),"")</f>
        <v/>
      </c>
      <c r="N79" s="207"/>
      <c r="O79" s="207"/>
      <c r="P79" s="206"/>
      <c r="Q79" s="209">
        <f>IFERROR(Table1323[[#This Row],[Rebate per luminaire, ($)]]*Table1323[[#This Row],[Quantity of luminaires or lamps]],0)</f>
        <v>0</v>
      </c>
      <c r="R7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79" s="211" t="str">
        <f>IFERROR(IF(Table1323[[#This Row],[Quantity of luminaires or lamps]]="","",IF(Table1323[[#This Row],[Controls Rebate]]="",0,Table1323[[#This Row],[Controls Rebate]])+Table1323[[#This Row],[Lighting Rebate]]),"")</f>
        <v/>
      </c>
      <c r="T7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79" s="213">
        <f>IFERROR(Table1323[[#This Row],[Rebate kW Savings]]*Table1323[[#This Row],[Annual hours from space type]],0)</f>
        <v>0</v>
      </c>
      <c r="V7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79" s="213">
        <f>Table1323[[#This Row],[Rebate kWh savings]]+Table1323[[#This Row],[Controls Rebate kWh Savings]]</f>
        <v>0</v>
      </c>
      <c r="X79" s="214" t="str">
        <f>IFERROR(IF(Table1323[[#This Row],[Quantity of luminaires or lamps]]="","",Table1323[[#This Row],[Rebate kW Savings]]),0)</f>
        <v/>
      </c>
      <c r="Y79" s="215" t="str">
        <f>IFERROR(IF(Table1323[[#This Row],[Quantity of luminaires or lamps]]="","",Table1323[[#This Row],[Total Lighting Rebate Energy Savings]]),0)</f>
        <v/>
      </c>
      <c r="Z79" s="207"/>
      <c r="AA79" s="18" t="str">
        <f>IF(Table1323[[#This Row],[Selected for Implementation]]="Yes",IF(Table1323[[#This Row],[No]]="","",(CONCATENATE("Light_"&amp;Table1323[[#This Row],[Rebate Category]]&amp;Table1323[[#This Row],[LED lamp/luminaire retrofit part '#]]))),"")</f>
        <v/>
      </c>
      <c r="AB79" s="20" t="str" cm="1">
        <f t="array" ref="AB79">IFERROR(IF(Table1323[[#This Row],[Annual hours from space type]]&gt;=Table14[],Table1323[[#This Row],[Demand Savings, kW]],0),0)</f>
        <v/>
      </c>
      <c r="AC79" s="19" t="str">
        <f>IFERROR(INDEX(Table1[BC Hydro xRM ECM],MATCH(Table1323[[#This Row],[Rebate Category]],Table1[BC Hydro Rebate Category],0)),"")</f>
        <v/>
      </c>
      <c r="AD79" s="18">
        <f>IF(Table1323[[#This Row],[Selected for Implementation]]="Yes",1,0)</f>
        <v>0</v>
      </c>
      <c r="AE79" s="18" t="e">
        <f>Table1323[[#This Row],[Implement]]*Table1323[[#This Row],[Demand Savings, kW]]</f>
        <v>#VALUE!</v>
      </c>
      <c r="AF79" s="18" t="e">
        <f>Table1323[[#This Row],[Implement]]*Table1323[[#This Row],[BCH Peak kW]]</f>
        <v>#VALUE!</v>
      </c>
      <c r="AG79" s="18">
        <f>Table1323[[#This Row],[Implement]]*Table1323[[#This Row],[Rebate kWh savings]]</f>
        <v>0</v>
      </c>
      <c r="AH79" s="18">
        <f>Table1323[[#This Row],[Implement]]*Table1323[[#This Row],[Controls Rebate kWh Savings]]</f>
        <v>0</v>
      </c>
      <c r="AI79" s="233">
        <f>Table1323[[#This Row],[Implement]]*Table1323[[#This Row],[Controls Rebate]]</f>
        <v>0</v>
      </c>
      <c r="AJ79" s="569">
        <f>IF(Table1323[[#This Row],[iControls Incentives]]&gt;0,Table1323[[#This Row],[Number of  sensors]],0)</f>
        <v>0</v>
      </c>
      <c r="AK79" s="233">
        <f>Table1323[[#This Row],[Implement]]*Table1323[[#This Row],[Lighting Rebate]]</f>
        <v>0</v>
      </c>
    </row>
    <row r="80" spans="2:37" ht="32.15" customHeight="1" x14ac:dyDescent="0.3">
      <c r="B80" s="17" t="str">
        <f>IF(Table1323[[#This Row],[Space Type]]="","","L-"&amp;ROW(74:74))</f>
        <v/>
      </c>
      <c r="C80" s="206"/>
      <c r="D80" s="207"/>
      <c r="E80" s="207"/>
      <c r="F80" s="207"/>
      <c r="G80" s="208" t="str">
        <f>IFERROR(IF(Table1323[[#This Row],[No]]="","",IF(Table1323[[#This Row],[Space Type]]="","select Space Type",INDEX(Table5[Hours],MATCH(Table1323[[#This Row],[Space Type]],Table5[Space Type],0)))),"")</f>
        <v/>
      </c>
      <c r="H80" s="207"/>
      <c r="I80" s="207"/>
      <c r="J80" s="613" t="str">
        <f>IFERROR(INDEX(Table1[Integrated Controls Capable],MATCH(Table1323[[#This Row],[Rebate Category]],Table1[BC Hydro Rebate Category],0)),"")</f>
        <v/>
      </c>
      <c r="K80" s="207"/>
      <c r="L80" s="572" t="str" cm="1">
        <f t="array" ref="L80">IFERROR(INDEX(Table1[Rebate],MATCH(Table1323[[#This Row],[Rebate Category]],Table1[BC Hydro Rebate Category],0))+IF(AND(Table1323[[#This Row],[Integrated Controls Capable]],Table1323[[#This Row],[Fixture Integrated Occupancy/Daylight Harvesting Sensors?]]="Yes"),Table6[],0),"")</f>
        <v/>
      </c>
      <c r="M80" s="574" t="str">
        <f>IFERROR(IF(AND(Table1323[[#This Row],[Integrated Controls Capable]],Table1323[[#This Row],[Fixture Integrated Occupancy/Daylight Harvesting Sensors?]]="Yes"),"per integrated luminaire", INDEX(Table1[Rebate Unit],MATCH(Table1323[[#This Row],[Rebate Category]],Table1[BC Hydro Rebate Category],0))),"")</f>
        <v/>
      </c>
      <c r="N80" s="207"/>
      <c r="O80" s="207"/>
      <c r="P80" s="206"/>
      <c r="Q80" s="209">
        <f>IFERROR(Table1323[[#This Row],[Rebate per luminaire, ($)]]*Table1323[[#This Row],[Quantity of luminaires or lamps]],0)</f>
        <v>0</v>
      </c>
      <c r="R8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80" s="211" t="str">
        <f>IFERROR(IF(Table1323[[#This Row],[Quantity of luminaires or lamps]]="","",IF(Table1323[[#This Row],[Controls Rebate]]="",0,Table1323[[#This Row],[Controls Rebate]])+Table1323[[#This Row],[Lighting Rebate]]),"")</f>
        <v/>
      </c>
      <c r="T8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80" s="213">
        <f>IFERROR(Table1323[[#This Row],[Rebate kW Savings]]*Table1323[[#This Row],[Annual hours from space type]],0)</f>
        <v>0</v>
      </c>
      <c r="V8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80" s="213">
        <f>Table1323[[#This Row],[Rebate kWh savings]]+Table1323[[#This Row],[Controls Rebate kWh Savings]]</f>
        <v>0</v>
      </c>
      <c r="X80" s="214" t="str">
        <f>IFERROR(IF(Table1323[[#This Row],[Quantity of luminaires or lamps]]="","",Table1323[[#This Row],[Rebate kW Savings]]),0)</f>
        <v/>
      </c>
      <c r="Y80" s="215" t="str">
        <f>IFERROR(IF(Table1323[[#This Row],[Quantity of luminaires or lamps]]="","",Table1323[[#This Row],[Total Lighting Rebate Energy Savings]]),0)</f>
        <v/>
      </c>
      <c r="Z80" s="207"/>
      <c r="AA80" s="18" t="str">
        <f>IF(Table1323[[#This Row],[Selected for Implementation]]="Yes",IF(Table1323[[#This Row],[No]]="","",(CONCATENATE("Light_"&amp;Table1323[[#This Row],[Rebate Category]]&amp;Table1323[[#This Row],[LED lamp/luminaire retrofit part '#]]))),"")</f>
        <v/>
      </c>
      <c r="AB80" s="20" t="str" cm="1">
        <f t="array" ref="AB80">IFERROR(IF(Table1323[[#This Row],[Annual hours from space type]]&gt;=Table14[],Table1323[[#This Row],[Demand Savings, kW]],0),0)</f>
        <v/>
      </c>
      <c r="AC80" s="19" t="str">
        <f>IFERROR(INDEX(Table1[BC Hydro xRM ECM],MATCH(Table1323[[#This Row],[Rebate Category]],Table1[BC Hydro Rebate Category],0)),"")</f>
        <v/>
      </c>
      <c r="AD80" s="18">
        <f>IF(Table1323[[#This Row],[Selected for Implementation]]="Yes",1,0)</f>
        <v>0</v>
      </c>
      <c r="AE80" s="18" t="e">
        <f>Table1323[[#This Row],[Implement]]*Table1323[[#This Row],[Demand Savings, kW]]</f>
        <v>#VALUE!</v>
      </c>
      <c r="AF80" s="18" t="e">
        <f>Table1323[[#This Row],[Implement]]*Table1323[[#This Row],[BCH Peak kW]]</f>
        <v>#VALUE!</v>
      </c>
      <c r="AG80" s="18">
        <f>Table1323[[#This Row],[Implement]]*Table1323[[#This Row],[Rebate kWh savings]]</f>
        <v>0</v>
      </c>
      <c r="AH80" s="18">
        <f>Table1323[[#This Row],[Implement]]*Table1323[[#This Row],[Controls Rebate kWh Savings]]</f>
        <v>0</v>
      </c>
      <c r="AI80" s="233">
        <f>Table1323[[#This Row],[Implement]]*Table1323[[#This Row],[Controls Rebate]]</f>
        <v>0</v>
      </c>
      <c r="AJ80" s="569">
        <f>IF(Table1323[[#This Row],[iControls Incentives]]&gt;0,Table1323[[#This Row],[Number of  sensors]],0)</f>
        <v>0</v>
      </c>
      <c r="AK80" s="233">
        <f>Table1323[[#This Row],[Implement]]*Table1323[[#This Row],[Lighting Rebate]]</f>
        <v>0</v>
      </c>
    </row>
    <row r="81" spans="2:37" ht="32.15" customHeight="1" x14ac:dyDescent="0.3">
      <c r="B81" s="17" t="str">
        <f>IF(Table1323[[#This Row],[Space Type]]="","","L-"&amp;ROW(75:75))</f>
        <v/>
      </c>
      <c r="C81" s="206"/>
      <c r="D81" s="207"/>
      <c r="E81" s="207"/>
      <c r="F81" s="207"/>
      <c r="G81" s="208" t="str">
        <f>IFERROR(IF(Table1323[[#This Row],[No]]="","",IF(Table1323[[#This Row],[Space Type]]="","select Space Type",INDEX(Table5[Hours],MATCH(Table1323[[#This Row],[Space Type]],Table5[Space Type],0)))),"")</f>
        <v/>
      </c>
      <c r="H81" s="207"/>
      <c r="I81" s="207"/>
      <c r="J81" s="613" t="str">
        <f>IFERROR(INDEX(Table1[Integrated Controls Capable],MATCH(Table1323[[#This Row],[Rebate Category]],Table1[BC Hydro Rebate Category],0)),"")</f>
        <v/>
      </c>
      <c r="K81" s="207"/>
      <c r="L81" s="572" t="str" cm="1">
        <f t="array" ref="L81">IFERROR(INDEX(Table1[Rebate],MATCH(Table1323[[#This Row],[Rebate Category]],Table1[BC Hydro Rebate Category],0))+IF(AND(Table1323[[#This Row],[Integrated Controls Capable]],Table1323[[#This Row],[Fixture Integrated Occupancy/Daylight Harvesting Sensors?]]="Yes"),Table6[],0),"")</f>
        <v/>
      </c>
      <c r="M81" s="574" t="str">
        <f>IFERROR(IF(AND(Table1323[[#This Row],[Integrated Controls Capable]],Table1323[[#This Row],[Fixture Integrated Occupancy/Daylight Harvesting Sensors?]]="Yes"),"per integrated luminaire", INDEX(Table1[Rebate Unit],MATCH(Table1323[[#This Row],[Rebate Category]],Table1[BC Hydro Rebate Category],0))),"")</f>
        <v/>
      </c>
      <c r="N81" s="207"/>
      <c r="O81" s="207"/>
      <c r="P81" s="206"/>
      <c r="Q81" s="209">
        <f>IFERROR(Table1323[[#This Row],[Rebate per luminaire, ($)]]*Table1323[[#This Row],[Quantity of luminaires or lamps]],0)</f>
        <v>0</v>
      </c>
      <c r="R8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81" s="211" t="str">
        <f>IFERROR(IF(Table1323[[#This Row],[Quantity of luminaires or lamps]]="","",IF(Table1323[[#This Row],[Controls Rebate]]="",0,Table1323[[#This Row],[Controls Rebate]])+Table1323[[#This Row],[Lighting Rebate]]),"")</f>
        <v/>
      </c>
      <c r="T8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81" s="213">
        <f>IFERROR(Table1323[[#This Row],[Rebate kW Savings]]*Table1323[[#This Row],[Annual hours from space type]],0)</f>
        <v>0</v>
      </c>
      <c r="V8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81" s="213">
        <f>Table1323[[#This Row],[Rebate kWh savings]]+Table1323[[#This Row],[Controls Rebate kWh Savings]]</f>
        <v>0</v>
      </c>
      <c r="X81" s="214" t="str">
        <f>IFERROR(IF(Table1323[[#This Row],[Quantity of luminaires or lamps]]="","",Table1323[[#This Row],[Rebate kW Savings]]),0)</f>
        <v/>
      </c>
      <c r="Y81" s="215" t="str">
        <f>IFERROR(IF(Table1323[[#This Row],[Quantity of luminaires or lamps]]="","",Table1323[[#This Row],[Total Lighting Rebate Energy Savings]]),0)</f>
        <v/>
      </c>
      <c r="Z81" s="207"/>
      <c r="AA81" s="18" t="str">
        <f>IF(Table1323[[#This Row],[Selected for Implementation]]="Yes",IF(Table1323[[#This Row],[No]]="","",(CONCATENATE("Light_"&amp;Table1323[[#This Row],[Rebate Category]]&amp;Table1323[[#This Row],[LED lamp/luminaire retrofit part '#]]))),"")</f>
        <v/>
      </c>
      <c r="AB81" s="20" t="str" cm="1">
        <f t="array" ref="AB81">IFERROR(IF(Table1323[[#This Row],[Annual hours from space type]]&gt;=Table14[],Table1323[[#This Row],[Demand Savings, kW]],0),0)</f>
        <v/>
      </c>
      <c r="AC81" s="19" t="str">
        <f>IFERROR(INDEX(Table1[BC Hydro xRM ECM],MATCH(Table1323[[#This Row],[Rebate Category]],Table1[BC Hydro Rebate Category],0)),"")</f>
        <v/>
      </c>
      <c r="AD81" s="18">
        <f>IF(Table1323[[#This Row],[Selected for Implementation]]="Yes",1,0)</f>
        <v>0</v>
      </c>
      <c r="AE81" s="18" t="e">
        <f>Table1323[[#This Row],[Implement]]*Table1323[[#This Row],[Demand Savings, kW]]</f>
        <v>#VALUE!</v>
      </c>
      <c r="AF81" s="18" t="e">
        <f>Table1323[[#This Row],[Implement]]*Table1323[[#This Row],[BCH Peak kW]]</f>
        <v>#VALUE!</v>
      </c>
      <c r="AG81" s="18">
        <f>Table1323[[#This Row],[Implement]]*Table1323[[#This Row],[Rebate kWh savings]]</f>
        <v>0</v>
      </c>
      <c r="AH81" s="18">
        <f>Table1323[[#This Row],[Implement]]*Table1323[[#This Row],[Controls Rebate kWh Savings]]</f>
        <v>0</v>
      </c>
      <c r="AI81" s="233">
        <f>Table1323[[#This Row],[Implement]]*Table1323[[#This Row],[Controls Rebate]]</f>
        <v>0</v>
      </c>
      <c r="AJ81" s="569">
        <f>IF(Table1323[[#This Row],[iControls Incentives]]&gt;0,Table1323[[#This Row],[Number of  sensors]],0)</f>
        <v>0</v>
      </c>
      <c r="AK81" s="233">
        <f>Table1323[[#This Row],[Implement]]*Table1323[[#This Row],[Lighting Rebate]]</f>
        <v>0</v>
      </c>
    </row>
    <row r="82" spans="2:37" ht="32.15" customHeight="1" x14ac:dyDescent="0.3">
      <c r="B82" s="17" t="str">
        <f>IF(Table1323[[#This Row],[Space Type]]="","","L-"&amp;ROW(76:76))</f>
        <v/>
      </c>
      <c r="C82" s="206"/>
      <c r="D82" s="207"/>
      <c r="E82" s="207"/>
      <c r="F82" s="207"/>
      <c r="G82" s="208" t="str">
        <f>IFERROR(IF(Table1323[[#This Row],[No]]="","",IF(Table1323[[#This Row],[Space Type]]="","select Space Type",INDEX(Table5[Hours],MATCH(Table1323[[#This Row],[Space Type]],Table5[Space Type],0)))),"")</f>
        <v/>
      </c>
      <c r="H82" s="207"/>
      <c r="I82" s="207"/>
      <c r="J82" s="613" t="str">
        <f>IFERROR(INDEX(Table1[Integrated Controls Capable],MATCH(Table1323[[#This Row],[Rebate Category]],Table1[BC Hydro Rebate Category],0)),"")</f>
        <v/>
      </c>
      <c r="K82" s="207"/>
      <c r="L82" s="572" t="str" cm="1">
        <f t="array" ref="L82">IFERROR(INDEX(Table1[Rebate],MATCH(Table1323[[#This Row],[Rebate Category]],Table1[BC Hydro Rebate Category],0))+IF(AND(Table1323[[#This Row],[Integrated Controls Capable]],Table1323[[#This Row],[Fixture Integrated Occupancy/Daylight Harvesting Sensors?]]="Yes"),Table6[],0),"")</f>
        <v/>
      </c>
      <c r="M82" s="574" t="str">
        <f>IFERROR(IF(AND(Table1323[[#This Row],[Integrated Controls Capable]],Table1323[[#This Row],[Fixture Integrated Occupancy/Daylight Harvesting Sensors?]]="Yes"),"per integrated luminaire", INDEX(Table1[Rebate Unit],MATCH(Table1323[[#This Row],[Rebate Category]],Table1[BC Hydro Rebate Category],0))),"")</f>
        <v/>
      </c>
      <c r="N82" s="207"/>
      <c r="O82" s="207"/>
      <c r="P82" s="206"/>
      <c r="Q82" s="209">
        <f>IFERROR(Table1323[[#This Row],[Rebate per luminaire, ($)]]*Table1323[[#This Row],[Quantity of luminaires or lamps]],0)</f>
        <v>0</v>
      </c>
      <c r="R8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82" s="211" t="str">
        <f>IFERROR(IF(Table1323[[#This Row],[Quantity of luminaires or lamps]]="","",IF(Table1323[[#This Row],[Controls Rebate]]="",0,Table1323[[#This Row],[Controls Rebate]])+Table1323[[#This Row],[Lighting Rebate]]),"")</f>
        <v/>
      </c>
      <c r="T8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82" s="213">
        <f>IFERROR(Table1323[[#This Row],[Rebate kW Savings]]*Table1323[[#This Row],[Annual hours from space type]],0)</f>
        <v>0</v>
      </c>
      <c r="V8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82" s="213">
        <f>Table1323[[#This Row],[Rebate kWh savings]]+Table1323[[#This Row],[Controls Rebate kWh Savings]]</f>
        <v>0</v>
      </c>
      <c r="X82" s="214" t="str">
        <f>IFERROR(IF(Table1323[[#This Row],[Quantity of luminaires or lamps]]="","",Table1323[[#This Row],[Rebate kW Savings]]),0)</f>
        <v/>
      </c>
      <c r="Y82" s="215" t="str">
        <f>IFERROR(IF(Table1323[[#This Row],[Quantity of luminaires or lamps]]="","",Table1323[[#This Row],[Total Lighting Rebate Energy Savings]]),0)</f>
        <v/>
      </c>
      <c r="Z82" s="207"/>
      <c r="AA82" s="18" t="str">
        <f>IF(Table1323[[#This Row],[Selected for Implementation]]="Yes",IF(Table1323[[#This Row],[No]]="","",(CONCATENATE("Light_"&amp;Table1323[[#This Row],[Rebate Category]]&amp;Table1323[[#This Row],[LED lamp/luminaire retrofit part '#]]))),"")</f>
        <v/>
      </c>
      <c r="AB82" s="20" t="str" cm="1">
        <f t="array" ref="AB82">IFERROR(IF(Table1323[[#This Row],[Annual hours from space type]]&gt;=Table14[],Table1323[[#This Row],[Demand Savings, kW]],0),0)</f>
        <v/>
      </c>
      <c r="AC82" s="19" t="str">
        <f>IFERROR(INDEX(Table1[BC Hydro xRM ECM],MATCH(Table1323[[#This Row],[Rebate Category]],Table1[BC Hydro Rebate Category],0)),"")</f>
        <v/>
      </c>
      <c r="AD82" s="18">
        <f>IF(Table1323[[#This Row],[Selected for Implementation]]="Yes",1,0)</f>
        <v>0</v>
      </c>
      <c r="AE82" s="18" t="e">
        <f>Table1323[[#This Row],[Implement]]*Table1323[[#This Row],[Demand Savings, kW]]</f>
        <v>#VALUE!</v>
      </c>
      <c r="AF82" s="18" t="e">
        <f>Table1323[[#This Row],[Implement]]*Table1323[[#This Row],[BCH Peak kW]]</f>
        <v>#VALUE!</v>
      </c>
      <c r="AG82" s="18">
        <f>Table1323[[#This Row],[Implement]]*Table1323[[#This Row],[Rebate kWh savings]]</f>
        <v>0</v>
      </c>
      <c r="AH82" s="18">
        <f>Table1323[[#This Row],[Implement]]*Table1323[[#This Row],[Controls Rebate kWh Savings]]</f>
        <v>0</v>
      </c>
      <c r="AI82" s="233">
        <f>Table1323[[#This Row],[Implement]]*Table1323[[#This Row],[Controls Rebate]]</f>
        <v>0</v>
      </c>
      <c r="AJ82" s="569">
        <f>IF(Table1323[[#This Row],[iControls Incentives]]&gt;0,Table1323[[#This Row],[Number of  sensors]],0)</f>
        <v>0</v>
      </c>
      <c r="AK82" s="233">
        <f>Table1323[[#This Row],[Implement]]*Table1323[[#This Row],[Lighting Rebate]]</f>
        <v>0</v>
      </c>
    </row>
    <row r="83" spans="2:37" ht="32.15" customHeight="1" x14ac:dyDescent="0.3">
      <c r="B83" s="17" t="str">
        <f>IF(Table1323[[#This Row],[Space Type]]="","","L-"&amp;ROW(77:77))</f>
        <v/>
      </c>
      <c r="C83" s="206"/>
      <c r="D83" s="207"/>
      <c r="E83" s="207"/>
      <c r="F83" s="207"/>
      <c r="G83" s="208" t="str">
        <f>IFERROR(IF(Table1323[[#This Row],[No]]="","",IF(Table1323[[#This Row],[Space Type]]="","select Space Type",INDEX(Table5[Hours],MATCH(Table1323[[#This Row],[Space Type]],Table5[Space Type],0)))),"")</f>
        <v/>
      </c>
      <c r="H83" s="207"/>
      <c r="I83" s="207"/>
      <c r="J83" s="613" t="str">
        <f>IFERROR(INDEX(Table1[Integrated Controls Capable],MATCH(Table1323[[#This Row],[Rebate Category]],Table1[BC Hydro Rebate Category],0)),"")</f>
        <v/>
      </c>
      <c r="K83" s="207"/>
      <c r="L83" s="572" t="str" cm="1">
        <f t="array" ref="L83">IFERROR(INDEX(Table1[Rebate],MATCH(Table1323[[#This Row],[Rebate Category]],Table1[BC Hydro Rebate Category],0))+IF(AND(Table1323[[#This Row],[Integrated Controls Capable]],Table1323[[#This Row],[Fixture Integrated Occupancy/Daylight Harvesting Sensors?]]="Yes"),Table6[],0),"")</f>
        <v/>
      </c>
      <c r="M83" s="574" t="str">
        <f>IFERROR(IF(AND(Table1323[[#This Row],[Integrated Controls Capable]],Table1323[[#This Row],[Fixture Integrated Occupancy/Daylight Harvesting Sensors?]]="Yes"),"per integrated luminaire", INDEX(Table1[Rebate Unit],MATCH(Table1323[[#This Row],[Rebate Category]],Table1[BC Hydro Rebate Category],0))),"")</f>
        <v/>
      </c>
      <c r="N83" s="207"/>
      <c r="O83" s="207"/>
      <c r="P83" s="206"/>
      <c r="Q83" s="209">
        <f>IFERROR(Table1323[[#This Row],[Rebate per luminaire, ($)]]*Table1323[[#This Row],[Quantity of luminaires or lamps]],0)</f>
        <v>0</v>
      </c>
      <c r="R8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83" s="211" t="str">
        <f>IFERROR(IF(Table1323[[#This Row],[Quantity of luminaires or lamps]]="","",IF(Table1323[[#This Row],[Controls Rebate]]="",0,Table1323[[#This Row],[Controls Rebate]])+Table1323[[#This Row],[Lighting Rebate]]),"")</f>
        <v/>
      </c>
      <c r="T8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83" s="213">
        <f>IFERROR(Table1323[[#This Row],[Rebate kW Savings]]*Table1323[[#This Row],[Annual hours from space type]],0)</f>
        <v>0</v>
      </c>
      <c r="V8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83" s="213">
        <f>Table1323[[#This Row],[Rebate kWh savings]]+Table1323[[#This Row],[Controls Rebate kWh Savings]]</f>
        <v>0</v>
      </c>
      <c r="X83" s="214" t="str">
        <f>IFERROR(IF(Table1323[[#This Row],[Quantity of luminaires or lamps]]="","",Table1323[[#This Row],[Rebate kW Savings]]),0)</f>
        <v/>
      </c>
      <c r="Y83" s="215" t="str">
        <f>IFERROR(IF(Table1323[[#This Row],[Quantity of luminaires or lamps]]="","",Table1323[[#This Row],[Total Lighting Rebate Energy Savings]]),0)</f>
        <v/>
      </c>
      <c r="Z83" s="207"/>
      <c r="AA83" s="18" t="str">
        <f>IF(Table1323[[#This Row],[Selected for Implementation]]="Yes",IF(Table1323[[#This Row],[No]]="","",(CONCATENATE("Light_"&amp;Table1323[[#This Row],[Rebate Category]]&amp;Table1323[[#This Row],[LED lamp/luminaire retrofit part '#]]))),"")</f>
        <v/>
      </c>
      <c r="AB83" s="20" t="str" cm="1">
        <f t="array" ref="AB83">IFERROR(IF(Table1323[[#This Row],[Annual hours from space type]]&gt;=Table14[],Table1323[[#This Row],[Demand Savings, kW]],0),0)</f>
        <v/>
      </c>
      <c r="AC83" s="19" t="str">
        <f>IFERROR(INDEX(Table1[BC Hydro xRM ECM],MATCH(Table1323[[#This Row],[Rebate Category]],Table1[BC Hydro Rebate Category],0)),"")</f>
        <v/>
      </c>
      <c r="AD83" s="18">
        <f>IF(Table1323[[#This Row],[Selected for Implementation]]="Yes",1,0)</f>
        <v>0</v>
      </c>
      <c r="AE83" s="18" t="e">
        <f>Table1323[[#This Row],[Implement]]*Table1323[[#This Row],[Demand Savings, kW]]</f>
        <v>#VALUE!</v>
      </c>
      <c r="AF83" s="18" t="e">
        <f>Table1323[[#This Row],[Implement]]*Table1323[[#This Row],[BCH Peak kW]]</f>
        <v>#VALUE!</v>
      </c>
      <c r="AG83" s="18">
        <f>Table1323[[#This Row],[Implement]]*Table1323[[#This Row],[Rebate kWh savings]]</f>
        <v>0</v>
      </c>
      <c r="AH83" s="18">
        <f>Table1323[[#This Row],[Implement]]*Table1323[[#This Row],[Controls Rebate kWh Savings]]</f>
        <v>0</v>
      </c>
      <c r="AI83" s="233">
        <f>Table1323[[#This Row],[Implement]]*Table1323[[#This Row],[Controls Rebate]]</f>
        <v>0</v>
      </c>
      <c r="AJ83" s="569">
        <f>IF(Table1323[[#This Row],[iControls Incentives]]&gt;0,Table1323[[#This Row],[Number of  sensors]],0)</f>
        <v>0</v>
      </c>
      <c r="AK83" s="233">
        <f>Table1323[[#This Row],[Implement]]*Table1323[[#This Row],[Lighting Rebate]]</f>
        <v>0</v>
      </c>
    </row>
    <row r="84" spans="2:37" ht="32.15" customHeight="1" x14ac:dyDescent="0.3">
      <c r="B84" s="17" t="str">
        <f>IF(Table1323[[#This Row],[Space Type]]="","","L-"&amp;ROW(78:78))</f>
        <v/>
      </c>
      <c r="C84" s="206"/>
      <c r="D84" s="207"/>
      <c r="E84" s="207"/>
      <c r="F84" s="207"/>
      <c r="G84" s="208" t="str">
        <f>IFERROR(IF(Table1323[[#This Row],[No]]="","",IF(Table1323[[#This Row],[Space Type]]="","select Space Type",INDEX(Table5[Hours],MATCH(Table1323[[#This Row],[Space Type]],Table5[Space Type],0)))),"")</f>
        <v/>
      </c>
      <c r="H84" s="207"/>
      <c r="I84" s="207"/>
      <c r="J84" s="613" t="str">
        <f>IFERROR(INDEX(Table1[Integrated Controls Capable],MATCH(Table1323[[#This Row],[Rebate Category]],Table1[BC Hydro Rebate Category],0)),"")</f>
        <v/>
      </c>
      <c r="K84" s="207"/>
      <c r="L84" s="572" t="str" cm="1">
        <f t="array" ref="L84">IFERROR(INDEX(Table1[Rebate],MATCH(Table1323[[#This Row],[Rebate Category]],Table1[BC Hydro Rebate Category],0))+IF(AND(Table1323[[#This Row],[Integrated Controls Capable]],Table1323[[#This Row],[Fixture Integrated Occupancy/Daylight Harvesting Sensors?]]="Yes"),Table6[],0),"")</f>
        <v/>
      </c>
      <c r="M84" s="574" t="str">
        <f>IFERROR(IF(AND(Table1323[[#This Row],[Integrated Controls Capable]],Table1323[[#This Row],[Fixture Integrated Occupancy/Daylight Harvesting Sensors?]]="Yes"),"per integrated luminaire", INDEX(Table1[Rebate Unit],MATCH(Table1323[[#This Row],[Rebate Category]],Table1[BC Hydro Rebate Category],0))),"")</f>
        <v/>
      </c>
      <c r="N84" s="207"/>
      <c r="O84" s="207"/>
      <c r="P84" s="206"/>
      <c r="Q84" s="209">
        <f>IFERROR(Table1323[[#This Row],[Rebate per luminaire, ($)]]*Table1323[[#This Row],[Quantity of luminaires or lamps]],0)</f>
        <v>0</v>
      </c>
      <c r="R8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84" s="211" t="str">
        <f>IFERROR(IF(Table1323[[#This Row],[Quantity of luminaires or lamps]]="","",IF(Table1323[[#This Row],[Controls Rebate]]="",0,Table1323[[#This Row],[Controls Rebate]])+Table1323[[#This Row],[Lighting Rebate]]),"")</f>
        <v/>
      </c>
      <c r="T8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84" s="213">
        <f>IFERROR(Table1323[[#This Row],[Rebate kW Savings]]*Table1323[[#This Row],[Annual hours from space type]],0)</f>
        <v>0</v>
      </c>
      <c r="V8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84" s="213">
        <f>Table1323[[#This Row],[Rebate kWh savings]]+Table1323[[#This Row],[Controls Rebate kWh Savings]]</f>
        <v>0</v>
      </c>
      <c r="X84" s="214" t="str">
        <f>IFERROR(IF(Table1323[[#This Row],[Quantity of luminaires or lamps]]="","",Table1323[[#This Row],[Rebate kW Savings]]),0)</f>
        <v/>
      </c>
      <c r="Y84" s="215" t="str">
        <f>IFERROR(IF(Table1323[[#This Row],[Quantity of luminaires or lamps]]="","",Table1323[[#This Row],[Total Lighting Rebate Energy Savings]]),0)</f>
        <v/>
      </c>
      <c r="Z84" s="207"/>
      <c r="AA84" s="18" t="str">
        <f>IF(Table1323[[#This Row],[Selected for Implementation]]="Yes",IF(Table1323[[#This Row],[No]]="","",(CONCATENATE("Light_"&amp;Table1323[[#This Row],[Rebate Category]]&amp;Table1323[[#This Row],[LED lamp/luminaire retrofit part '#]]))),"")</f>
        <v/>
      </c>
      <c r="AB84" s="20" t="str" cm="1">
        <f t="array" ref="AB84">IFERROR(IF(Table1323[[#This Row],[Annual hours from space type]]&gt;=Table14[],Table1323[[#This Row],[Demand Savings, kW]],0),0)</f>
        <v/>
      </c>
      <c r="AC84" s="19" t="str">
        <f>IFERROR(INDEX(Table1[BC Hydro xRM ECM],MATCH(Table1323[[#This Row],[Rebate Category]],Table1[BC Hydro Rebate Category],0)),"")</f>
        <v/>
      </c>
      <c r="AD84" s="18">
        <f>IF(Table1323[[#This Row],[Selected for Implementation]]="Yes",1,0)</f>
        <v>0</v>
      </c>
      <c r="AE84" s="18" t="e">
        <f>Table1323[[#This Row],[Implement]]*Table1323[[#This Row],[Demand Savings, kW]]</f>
        <v>#VALUE!</v>
      </c>
      <c r="AF84" s="18" t="e">
        <f>Table1323[[#This Row],[Implement]]*Table1323[[#This Row],[BCH Peak kW]]</f>
        <v>#VALUE!</v>
      </c>
      <c r="AG84" s="18">
        <f>Table1323[[#This Row],[Implement]]*Table1323[[#This Row],[Rebate kWh savings]]</f>
        <v>0</v>
      </c>
      <c r="AH84" s="18">
        <f>Table1323[[#This Row],[Implement]]*Table1323[[#This Row],[Controls Rebate kWh Savings]]</f>
        <v>0</v>
      </c>
      <c r="AI84" s="233">
        <f>Table1323[[#This Row],[Implement]]*Table1323[[#This Row],[Controls Rebate]]</f>
        <v>0</v>
      </c>
      <c r="AJ84" s="569">
        <f>IF(Table1323[[#This Row],[iControls Incentives]]&gt;0,Table1323[[#This Row],[Number of  sensors]],0)</f>
        <v>0</v>
      </c>
      <c r="AK84" s="233">
        <f>Table1323[[#This Row],[Implement]]*Table1323[[#This Row],[Lighting Rebate]]</f>
        <v>0</v>
      </c>
    </row>
    <row r="85" spans="2:37" ht="32.15" customHeight="1" x14ac:dyDescent="0.3">
      <c r="B85" s="17" t="str">
        <f>IF(Table1323[[#This Row],[Space Type]]="","","L-"&amp;ROW(79:79))</f>
        <v/>
      </c>
      <c r="C85" s="206"/>
      <c r="D85" s="207"/>
      <c r="E85" s="207"/>
      <c r="F85" s="207"/>
      <c r="G85" s="208" t="str">
        <f>IFERROR(IF(Table1323[[#This Row],[No]]="","",IF(Table1323[[#This Row],[Space Type]]="","select Space Type",INDEX(Table5[Hours],MATCH(Table1323[[#This Row],[Space Type]],Table5[Space Type],0)))),"")</f>
        <v/>
      </c>
      <c r="H85" s="207"/>
      <c r="I85" s="207"/>
      <c r="J85" s="613" t="str">
        <f>IFERROR(INDEX(Table1[Integrated Controls Capable],MATCH(Table1323[[#This Row],[Rebate Category]],Table1[BC Hydro Rebate Category],0)),"")</f>
        <v/>
      </c>
      <c r="K85" s="207"/>
      <c r="L85" s="572" t="str" cm="1">
        <f t="array" ref="L85">IFERROR(INDEX(Table1[Rebate],MATCH(Table1323[[#This Row],[Rebate Category]],Table1[BC Hydro Rebate Category],0))+IF(AND(Table1323[[#This Row],[Integrated Controls Capable]],Table1323[[#This Row],[Fixture Integrated Occupancy/Daylight Harvesting Sensors?]]="Yes"),Table6[],0),"")</f>
        <v/>
      </c>
      <c r="M85" s="574" t="str">
        <f>IFERROR(IF(AND(Table1323[[#This Row],[Integrated Controls Capable]],Table1323[[#This Row],[Fixture Integrated Occupancy/Daylight Harvesting Sensors?]]="Yes"),"per integrated luminaire", INDEX(Table1[Rebate Unit],MATCH(Table1323[[#This Row],[Rebate Category]],Table1[BC Hydro Rebate Category],0))),"")</f>
        <v/>
      </c>
      <c r="N85" s="207"/>
      <c r="O85" s="207"/>
      <c r="P85" s="206"/>
      <c r="Q85" s="209">
        <f>IFERROR(Table1323[[#This Row],[Rebate per luminaire, ($)]]*Table1323[[#This Row],[Quantity of luminaires or lamps]],0)</f>
        <v>0</v>
      </c>
      <c r="R8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85" s="211" t="str">
        <f>IFERROR(IF(Table1323[[#This Row],[Quantity of luminaires or lamps]]="","",IF(Table1323[[#This Row],[Controls Rebate]]="",0,Table1323[[#This Row],[Controls Rebate]])+Table1323[[#This Row],[Lighting Rebate]]),"")</f>
        <v/>
      </c>
      <c r="T8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85" s="213">
        <f>IFERROR(Table1323[[#This Row],[Rebate kW Savings]]*Table1323[[#This Row],[Annual hours from space type]],0)</f>
        <v>0</v>
      </c>
      <c r="V8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85" s="213">
        <f>Table1323[[#This Row],[Rebate kWh savings]]+Table1323[[#This Row],[Controls Rebate kWh Savings]]</f>
        <v>0</v>
      </c>
      <c r="X85" s="214" t="str">
        <f>IFERROR(IF(Table1323[[#This Row],[Quantity of luminaires or lamps]]="","",Table1323[[#This Row],[Rebate kW Savings]]),0)</f>
        <v/>
      </c>
      <c r="Y85" s="215" t="str">
        <f>IFERROR(IF(Table1323[[#This Row],[Quantity of luminaires or lamps]]="","",Table1323[[#This Row],[Total Lighting Rebate Energy Savings]]),0)</f>
        <v/>
      </c>
      <c r="Z85" s="207"/>
      <c r="AA85" s="18" t="str">
        <f>IF(Table1323[[#This Row],[Selected for Implementation]]="Yes",IF(Table1323[[#This Row],[No]]="","",(CONCATENATE("Light_"&amp;Table1323[[#This Row],[Rebate Category]]&amp;Table1323[[#This Row],[LED lamp/luminaire retrofit part '#]]))),"")</f>
        <v/>
      </c>
      <c r="AB85" s="20" t="str" cm="1">
        <f t="array" ref="AB85">IFERROR(IF(Table1323[[#This Row],[Annual hours from space type]]&gt;=Table14[],Table1323[[#This Row],[Demand Savings, kW]],0),0)</f>
        <v/>
      </c>
      <c r="AC85" s="19" t="str">
        <f>IFERROR(INDEX(Table1[BC Hydro xRM ECM],MATCH(Table1323[[#This Row],[Rebate Category]],Table1[BC Hydro Rebate Category],0)),"")</f>
        <v/>
      </c>
      <c r="AD85" s="18">
        <f>IF(Table1323[[#This Row],[Selected for Implementation]]="Yes",1,0)</f>
        <v>0</v>
      </c>
      <c r="AE85" s="18" t="e">
        <f>Table1323[[#This Row],[Implement]]*Table1323[[#This Row],[Demand Savings, kW]]</f>
        <v>#VALUE!</v>
      </c>
      <c r="AF85" s="18" t="e">
        <f>Table1323[[#This Row],[Implement]]*Table1323[[#This Row],[BCH Peak kW]]</f>
        <v>#VALUE!</v>
      </c>
      <c r="AG85" s="18">
        <f>Table1323[[#This Row],[Implement]]*Table1323[[#This Row],[Rebate kWh savings]]</f>
        <v>0</v>
      </c>
      <c r="AH85" s="18">
        <f>Table1323[[#This Row],[Implement]]*Table1323[[#This Row],[Controls Rebate kWh Savings]]</f>
        <v>0</v>
      </c>
      <c r="AI85" s="233">
        <f>Table1323[[#This Row],[Implement]]*Table1323[[#This Row],[Controls Rebate]]</f>
        <v>0</v>
      </c>
      <c r="AJ85" s="569">
        <f>IF(Table1323[[#This Row],[iControls Incentives]]&gt;0,Table1323[[#This Row],[Number of  sensors]],0)</f>
        <v>0</v>
      </c>
      <c r="AK85" s="233">
        <f>Table1323[[#This Row],[Implement]]*Table1323[[#This Row],[Lighting Rebate]]</f>
        <v>0</v>
      </c>
    </row>
    <row r="86" spans="2:37" ht="32.15" customHeight="1" x14ac:dyDescent="0.3">
      <c r="B86" s="17" t="str">
        <f>IF(Table1323[[#This Row],[Space Type]]="","","L-"&amp;ROW(80:80))</f>
        <v/>
      </c>
      <c r="C86" s="206"/>
      <c r="D86" s="207"/>
      <c r="E86" s="207"/>
      <c r="F86" s="207"/>
      <c r="G86" s="208" t="str">
        <f>IFERROR(IF(Table1323[[#This Row],[No]]="","",IF(Table1323[[#This Row],[Space Type]]="","select Space Type",INDEX(Table5[Hours],MATCH(Table1323[[#This Row],[Space Type]],Table5[Space Type],0)))),"")</f>
        <v/>
      </c>
      <c r="H86" s="207"/>
      <c r="I86" s="207"/>
      <c r="J86" s="613" t="str">
        <f>IFERROR(INDEX(Table1[Integrated Controls Capable],MATCH(Table1323[[#This Row],[Rebate Category]],Table1[BC Hydro Rebate Category],0)),"")</f>
        <v/>
      </c>
      <c r="K86" s="207"/>
      <c r="L86" s="572" t="str" cm="1">
        <f t="array" ref="L86">IFERROR(INDEX(Table1[Rebate],MATCH(Table1323[[#This Row],[Rebate Category]],Table1[BC Hydro Rebate Category],0))+IF(AND(Table1323[[#This Row],[Integrated Controls Capable]],Table1323[[#This Row],[Fixture Integrated Occupancy/Daylight Harvesting Sensors?]]="Yes"),Table6[],0),"")</f>
        <v/>
      </c>
      <c r="M86" s="574" t="str">
        <f>IFERROR(IF(AND(Table1323[[#This Row],[Integrated Controls Capable]],Table1323[[#This Row],[Fixture Integrated Occupancy/Daylight Harvesting Sensors?]]="Yes"),"per integrated luminaire", INDEX(Table1[Rebate Unit],MATCH(Table1323[[#This Row],[Rebate Category]],Table1[BC Hydro Rebate Category],0))),"")</f>
        <v/>
      </c>
      <c r="N86" s="207"/>
      <c r="O86" s="207"/>
      <c r="P86" s="206"/>
      <c r="Q86" s="209">
        <f>IFERROR(Table1323[[#This Row],[Rebate per luminaire, ($)]]*Table1323[[#This Row],[Quantity of luminaires or lamps]],0)</f>
        <v>0</v>
      </c>
      <c r="R8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86" s="211" t="str">
        <f>IFERROR(IF(Table1323[[#This Row],[Quantity of luminaires or lamps]]="","",IF(Table1323[[#This Row],[Controls Rebate]]="",0,Table1323[[#This Row],[Controls Rebate]])+Table1323[[#This Row],[Lighting Rebate]]),"")</f>
        <v/>
      </c>
      <c r="T8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86" s="213">
        <f>IFERROR(Table1323[[#This Row],[Rebate kW Savings]]*Table1323[[#This Row],[Annual hours from space type]],0)</f>
        <v>0</v>
      </c>
      <c r="V8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86" s="213">
        <f>Table1323[[#This Row],[Rebate kWh savings]]+Table1323[[#This Row],[Controls Rebate kWh Savings]]</f>
        <v>0</v>
      </c>
      <c r="X86" s="214" t="str">
        <f>IFERROR(IF(Table1323[[#This Row],[Quantity of luminaires or lamps]]="","",Table1323[[#This Row],[Rebate kW Savings]]),0)</f>
        <v/>
      </c>
      <c r="Y86" s="215" t="str">
        <f>IFERROR(IF(Table1323[[#This Row],[Quantity of luminaires or lamps]]="","",Table1323[[#This Row],[Total Lighting Rebate Energy Savings]]),0)</f>
        <v/>
      </c>
      <c r="Z86" s="207"/>
      <c r="AA86" s="18" t="str">
        <f>IF(Table1323[[#This Row],[Selected for Implementation]]="Yes",IF(Table1323[[#This Row],[No]]="","",(CONCATENATE("Light_"&amp;Table1323[[#This Row],[Rebate Category]]&amp;Table1323[[#This Row],[LED lamp/luminaire retrofit part '#]]))),"")</f>
        <v/>
      </c>
      <c r="AB86" s="20" t="str" cm="1">
        <f t="array" ref="AB86">IFERROR(IF(Table1323[[#This Row],[Annual hours from space type]]&gt;=Table14[],Table1323[[#This Row],[Demand Savings, kW]],0),0)</f>
        <v/>
      </c>
      <c r="AC86" s="19" t="str">
        <f>IFERROR(INDEX(Table1[BC Hydro xRM ECM],MATCH(Table1323[[#This Row],[Rebate Category]],Table1[BC Hydro Rebate Category],0)),"")</f>
        <v/>
      </c>
      <c r="AD86" s="18">
        <f>IF(Table1323[[#This Row],[Selected for Implementation]]="Yes",1,0)</f>
        <v>0</v>
      </c>
      <c r="AE86" s="18" t="e">
        <f>Table1323[[#This Row],[Implement]]*Table1323[[#This Row],[Demand Savings, kW]]</f>
        <v>#VALUE!</v>
      </c>
      <c r="AF86" s="18" t="e">
        <f>Table1323[[#This Row],[Implement]]*Table1323[[#This Row],[BCH Peak kW]]</f>
        <v>#VALUE!</v>
      </c>
      <c r="AG86" s="18">
        <f>Table1323[[#This Row],[Implement]]*Table1323[[#This Row],[Rebate kWh savings]]</f>
        <v>0</v>
      </c>
      <c r="AH86" s="18">
        <f>Table1323[[#This Row],[Implement]]*Table1323[[#This Row],[Controls Rebate kWh Savings]]</f>
        <v>0</v>
      </c>
      <c r="AI86" s="233">
        <f>Table1323[[#This Row],[Implement]]*Table1323[[#This Row],[Controls Rebate]]</f>
        <v>0</v>
      </c>
      <c r="AJ86" s="569">
        <f>IF(Table1323[[#This Row],[iControls Incentives]]&gt;0,Table1323[[#This Row],[Number of  sensors]],0)</f>
        <v>0</v>
      </c>
      <c r="AK86" s="233">
        <f>Table1323[[#This Row],[Implement]]*Table1323[[#This Row],[Lighting Rebate]]</f>
        <v>0</v>
      </c>
    </row>
    <row r="87" spans="2:37" ht="32.15" customHeight="1" x14ac:dyDescent="0.3">
      <c r="B87" s="17" t="str">
        <f>IF(Table1323[[#This Row],[Space Type]]="","","L-"&amp;ROW(81:81))</f>
        <v/>
      </c>
      <c r="C87" s="206"/>
      <c r="D87" s="207"/>
      <c r="E87" s="207"/>
      <c r="F87" s="207"/>
      <c r="G87" s="208" t="str">
        <f>IFERROR(IF(Table1323[[#This Row],[No]]="","",IF(Table1323[[#This Row],[Space Type]]="","select Space Type",INDEX(Table5[Hours],MATCH(Table1323[[#This Row],[Space Type]],Table5[Space Type],0)))),"")</f>
        <v/>
      </c>
      <c r="H87" s="207"/>
      <c r="I87" s="207"/>
      <c r="J87" s="613" t="str">
        <f>IFERROR(INDEX(Table1[Integrated Controls Capable],MATCH(Table1323[[#This Row],[Rebate Category]],Table1[BC Hydro Rebate Category],0)),"")</f>
        <v/>
      </c>
      <c r="K87" s="207"/>
      <c r="L87" s="572" t="str" cm="1">
        <f t="array" ref="L87">IFERROR(INDEX(Table1[Rebate],MATCH(Table1323[[#This Row],[Rebate Category]],Table1[BC Hydro Rebate Category],0))+IF(AND(Table1323[[#This Row],[Integrated Controls Capable]],Table1323[[#This Row],[Fixture Integrated Occupancy/Daylight Harvesting Sensors?]]="Yes"),Table6[],0),"")</f>
        <v/>
      </c>
      <c r="M87" s="574" t="str">
        <f>IFERROR(IF(AND(Table1323[[#This Row],[Integrated Controls Capable]],Table1323[[#This Row],[Fixture Integrated Occupancy/Daylight Harvesting Sensors?]]="Yes"),"per integrated luminaire", INDEX(Table1[Rebate Unit],MATCH(Table1323[[#This Row],[Rebate Category]],Table1[BC Hydro Rebate Category],0))),"")</f>
        <v/>
      </c>
      <c r="N87" s="207"/>
      <c r="O87" s="207"/>
      <c r="P87" s="206"/>
      <c r="Q87" s="209">
        <f>IFERROR(Table1323[[#This Row],[Rebate per luminaire, ($)]]*Table1323[[#This Row],[Quantity of luminaires or lamps]],0)</f>
        <v>0</v>
      </c>
      <c r="R8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87" s="211" t="str">
        <f>IFERROR(IF(Table1323[[#This Row],[Quantity of luminaires or lamps]]="","",IF(Table1323[[#This Row],[Controls Rebate]]="",0,Table1323[[#This Row],[Controls Rebate]])+Table1323[[#This Row],[Lighting Rebate]]),"")</f>
        <v/>
      </c>
      <c r="T8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87" s="213">
        <f>IFERROR(Table1323[[#This Row],[Rebate kW Savings]]*Table1323[[#This Row],[Annual hours from space type]],0)</f>
        <v>0</v>
      </c>
      <c r="V8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87" s="213">
        <f>Table1323[[#This Row],[Rebate kWh savings]]+Table1323[[#This Row],[Controls Rebate kWh Savings]]</f>
        <v>0</v>
      </c>
      <c r="X87" s="214" t="str">
        <f>IFERROR(IF(Table1323[[#This Row],[Quantity of luminaires or lamps]]="","",Table1323[[#This Row],[Rebate kW Savings]]),0)</f>
        <v/>
      </c>
      <c r="Y87" s="215" t="str">
        <f>IFERROR(IF(Table1323[[#This Row],[Quantity of luminaires or lamps]]="","",Table1323[[#This Row],[Total Lighting Rebate Energy Savings]]),0)</f>
        <v/>
      </c>
      <c r="Z87" s="207"/>
      <c r="AA87" s="18" t="str">
        <f>IF(Table1323[[#This Row],[Selected for Implementation]]="Yes",IF(Table1323[[#This Row],[No]]="","",(CONCATENATE("Light_"&amp;Table1323[[#This Row],[Rebate Category]]&amp;Table1323[[#This Row],[LED lamp/luminaire retrofit part '#]]))),"")</f>
        <v/>
      </c>
      <c r="AB87" s="20" t="str" cm="1">
        <f t="array" ref="AB87">IFERROR(IF(Table1323[[#This Row],[Annual hours from space type]]&gt;=Table14[],Table1323[[#This Row],[Demand Savings, kW]],0),0)</f>
        <v/>
      </c>
      <c r="AC87" s="19" t="str">
        <f>IFERROR(INDEX(Table1[BC Hydro xRM ECM],MATCH(Table1323[[#This Row],[Rebate Category]],Table1[BC Hydro Rebate Category],0)),"")</f>
        <v/>
      </c>
      <c r="AD87" s="18">
        <f>IF(Table1323[[#This Row],[Selected for Implementation]]="Yes",1,0)</f>
        <v>0</v>
      </c>
      <c r="AE87" s="18" t="e">
        <f>Table1323[[#This Row],[Implement]]*Table1323[[#This Row],[Demand Savings, kW]]</f>
        <v>#VALUE!</v>
      </c>
      <c r="AF87" s="18" t="e">
        <f>Table1323[[#This Row],[Implement]]*Table1323[[#This Row],[BCH Peak kW]]</f>
        <v>#VALUE!</v>
      </c>
      <c r="AG87" s="18">
        <f>Table1323[[#This Row],[Implement]]*Table1323[[#This Row],[Rebate kWh savings]]</f>
        <v>0</v>
      </c>
      <c r="AH87" s="18">
        <f>Table1323[[#This Row],[Implement]]*Table1323[[#This Row],[Controls Rebate kWh Savings]]</f>
        <v>0</v>
      </c>
      <c r="AI87" s="233">
        <f>Table1323[[#This Row],[Implement]]*Table1323[[#This Row],[Controls Rebate]]</f>
        <v>0</v>
      </c>
      <c r="AJ87" s="569">
        <f>IF(Table1323[[#This Row],[iControls Incentives]]&gt;0,Table1323[[#This Row],[Number of  sensors]],0)</f>
        <v>0</v>
      </c>
      <c r="AK87" s="233">
        <f>Table1323[[#This Row],[Implement]]*Table1323[[#This Row],[Lighting Rebate]]</f>
        <v>0</v>
      </c>
    </row>
    <row r="88" spans="2:37" ht="32.15" customHeight="1" x14ac:dyDescent="0.3">
      <c r="B88" s="17" t="str">
        <f>IF(Table1323[[#This Row],[Space Type]]="","","L-"&amp;ROW(82:82))</f>
        <v/>
      </c>
      <c r="C88" s="206"/>
      <c r="D88" s="207"/>
      <c r="E88" s="207"/>
      <c r="F88" s="207"/>
      <c r="G88" s="208" t="str">
        <f>IFERROR(IF(Table1323[[#This Row],[No]]="","",IF(Table1323[[#This Row],[Space Type]]="","select Space Type",INDEX(Table5[Hours],MATCH(Table1323[[#This Row],[Space Type]],Table5[Space Type],0)))),"")</f>
        <v/>
      </c>
      <c r="H88" s="207"/>
      <c r="I88" s="207"/>
      <c r="J88" s="613" t="str">
        <f>IFERROR(INDEX(Table1[Integrated Controls Capable],MATCH(Table1323[[#This Row],[Rebate Category]],Table1[BC Hydro Rebate Category],0)),"")</f>
        <v/>
      </c>
      <c r="K88" s="207"/>
      <c r="L88" s="572" t="str" cm="1">
        <f t="array" ref="L88">IFERROR(INDEX(Table1[Rebate],MATCH(Table1323[[#This Row],[Rebate Category]],Table1[BC Hydro Rebate Category],0))+IF(AND(Table1323[[#This Row],[Integrated Controls Capable]],Table1323[[#This Row],[Fixture Integrated Occupancy/Daylight Harvesting Sensors?]]="Yes"),Table6[],0),"")</f>
        <v/>
      </c>
      <c r="M88" s="574" t="str">
        <f>IFERROR(IF(AND(Table1323[[#This Row],[Integrated Controls Capable]],Table1323[[#This Row],[Fixture Integrated Occupancy/Daylight Harvesting Sensors?]]="Yes"),"per integrated luminaire", INDEX(Table1[Rebate Unit],MATCH(Table1323[[#This Row],[Rebate Category]],Table1[BC Hydro Rebate Category],0))),"")</f>
        <v/>
      </c>
      <c r="N88" s="207"/>
      <c r="O88" s="207"/>
      <c r="P88" s="206"/>
      <c r="Q88" s="209">
        <f>IFERROR(Table1323[[#This Row],[Rebate per luminaire, ($)]]*Table1323[[#This Row],[Quantity of luminaires or lamps]],0)</f>
        <v>0</v>
      </c>
      <c r="R8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88" s="211" t="str">
        <f>IFERROR(IF(Table1323[[#This Row],[Quantity of luminaires or lamps]]="","",IF(Table1323[[#This Row],[Controls Rebate]]="",0,Table1323[[#This Row],[Controls Rebate]])+Table1323[[#This Row],[Lighting Rebate]]),"")</f>
        <v/>
      </c>
      <c r="T8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88" s="213">
        <f>IFERROR(Table1323[[#This Row],[Rebate kW Savings]]*Table1323[[#This Row],[Annual hours from space type]],0)</f>
        <v>0</v>
      </c>
      <c r="V8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88" s="213">
        <f>Table1323[[#This Row],[Rebate kWh savings]]+Table1323[[#This Row],[Controls Rebate kWh Savings]]</f>
        <v>0</v>
      </c>
      <c r="X88" s="214" t="str">
        <f>IFERROR(IF(Table1323[[#This Row],[Quantity of luminaires or lamps]]="","",Table1323[[#This Row],[Rebate kW Savings]]),0)</f>
        <v/>
      </c>
      <c r="Y88" s="215" t="str">
        <f>IFERROR(IF(Table1323[[#This Row],[Quantity of luminaires or lamps]]="","",Table1323[[#This Row],[Total Lighting Rebate Energy Savings]]),0)</f>
        <v/>
      </c>
      <c r="Z88" s="207"/>
      <c r="AA88" s="18" t="str">
        <f>IF(Table1323[[#This Row],[Selected for Implementation]]="Yes",IF(Table1323[[#This Row],[No]]="","",(CONCATENATE("Light_"&amp;Table1323[[#This Row],[Rebate Category]]&amp;Table1323[[#This Row],[LED lamp/luminaire retrofit part '#]]))),"")</f>
        <v/>
      </c>
      <c r="AB88" s="20" t="str" cm="1">
        <f t="array" ref="AB88">IFERROR(IF(Table1323[[#This Row],[Annual hours from space type]]&gt;=Table14[],Table1323[[#This Row],[Demand Savings, kW]],0),0)</f>
        <v/>
      </c>
      <c r="AC88" s="19" t="str">
        <f>IFERROR(INDEX(Table1[BC Hydro xRM ECM],MATCH(Table1323[[#This Row],[Rebate Category]],Table1[BC Hydro Rebate Category],0)),"")</f>
        <v/>
      </c>
      <c r="AD88" s="18">
        <f>IF(Table1323[[#This Row],[Selected for Implementation]]="Yes",1,0)</f>
        <v>0</v>
      </c>
      <c r="AE88" s="18" t="e">
        <f>Table1323[[#This Row],[Implement]]*Table1323[[#This Row],[Demand Savings, kW]]</f>
        <v>#VALUE!</v>
      </c>
      <c r="AF88" s="18" t="e">
        <f>Table1323[[#This Row],[Implement]]*Table1323[[#This Row],[BCH Peak kW]]</f>
        <v>#VALUE!</v>
      </c>
      <c r="AG88" s="18">
        <f>Table1323[[#This Row],[Implement]]*Table1323[[#This Row],[Rebate kWh savings]]</f>
        <v>0</v>
      </c>
      <c r="AH88" s="18">
        <f>Table1323[[#This Row],[Implement]]*Table1323[[#This Row],[Controls Rebate kWh Savings]]</f>
        <v>0</v>
      </c>
      <c r="AI88" s="233">
        <f>Table1323[[#This Row],[Implement]]*Table1323[[#This Row],[Controls Rebate]]</f>
        <v>0</v>
      </c>
      <c r="AJ88" s="569">
        <f>IF(Table1323[[#This Row],[iControls Incentives]]&gt;0,Table1323[[#This Row],[Number of  sensors]],0)</f>
        <v>0</v>
      </c>
      <c r="AK88" s="233">
        <f>Table1323[[#This Row],[Implement]]*Table1323[[#This Row],[Lighting Rebate]]</f>
        <v>0</v>
      </c>
    </row>
    <row r="89" spans="2:37" ht="32.15" customHeight="1" x14ac:dyDescent="0.3">
      <c r="B89" s="17" t="str">
        <f>IF(Table1323[[#This Row],[Space Type]]="","","L-"&amp;ROW(83:83))</f>
        <v/>
      </c>
      <c r="C89" s="206"/>
      <c r="D89" s="207"/>
      <c r="E89" s="207"/>
      <c r="F89" s="207"/>
      <c r="G89" s="208" t="str">
        <f>IFERROR(IF(Table1323[[#This Row],[No]]="","",IF(Table1323[[#This Row],[Space Type]]="","select Space Type",INDEX(Table5[Hours],MATCH(Table1323[[#This Row],[Space Type]],Table5[Space Type],0)))),"")</f>
        <v/>
      </c>
      <c r="H89" s="207"/>
      <c r="I89" s="207"/>
      <c r="J89" s="613" t="str">
        <f>IFERROR(INDEX(Table1[Integrated Controls Capable],MATCH(Table1323[[#This Row],[Rebate Category]],Table1[BC Hydro Rebate Category],0)),"")</f>
        <v/>
      </c>
      <c r="K89" s="207"/>
      <c r="L89" s="572" t="str" cm="1">
        <f t="array" ref="L89">IFERROR(INDEX(Table1[Rebate],MATCH(Table1323[[#This Row],[Rebate Category]],Table1[BC Hydro Rebate Category],0))+IF(AND(Table1323[[#This Row],[Integrated Controls Capable]],Table1323[[#This Row],[Fixture Integrated Occupancy/Daylight Harvesting Sensors?]]="Yes"),Table6[],0),"")</f>
        <v/>
      </c>
      <c r="M89" s="574" t="str">
        <f>IFERROR(IF(AND(Table1323[[#This Row],[Integrated Controls Capable]],Table1323[[#This Row],[Fixture Integrated Occupancy/Daylight Harvesting Sensors?]]="Yes"),"per integrated luminaire", INDEX(Table1[Rebate Unit],MATCH(Table1323[[#This Row],[Rebate Category]],Table1[BC Hydro Rebate Category],0))),"")</f>
        <v/>
      </c>
      <c r="N89" s="207"/>
      <c r="O89" s="207"/>
      <c r="P89" s="206"/>
      <c r="Q89" s="209">
        <f>IFERROR(Table1323[[#This Row],[Rebate per luminaire, ($)]]*Table1323[[#This Row],[Quantity of luminaires or lamps]],0)</f>
        <v>0</v>
      </c>
      <c r="R8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89" s="211" t="str">
        <f>IFERROR(IF(Table1323[[#This Row],[Quantity of luminaires or lamps]]="","",IF(Table1323[[#This Row],[Controls Rebate]]="",0,Table1323[[#This Row],[Controls Rebate]])+Table1323[[#This Row],[Lighting Rebate]]),"")</f>
        <v/>
      </c>
      <c r="T8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89" s="213">
        <f>IFERROR(Table1323[[#This Row],[Rebate kW Savings]]*Table1323[[#This Row],[Annual hours from space type]],0)</f>
        <v>0</v>
      </c>
      <c r="V8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89" s="213">
        <f>Table1323[[#This Row],[Rebate kWh savings]]+Table1323[[#This Row],[Controls Rebate kWh Savings]]</f>
        <v>0</v>
      </c>
      <c r="X89" s="214" t="str">
        <f>IFERROR(IF(Table1323[[#This Row],[Quantity of luminaires or lamps]]="","",Table1323[[#This Row],[Rebate kW Savings]]),0)</f>
        <v/>
      </c>
      <c r="Y89" s="215" t="str">
        <f>IFERROR(IF(Table1323[[#This Row],[Quantity of luminaires or lamps]]="","",Table1323[[#This Row],[Total Lighting Rebate Energy Savings]]),0)</f>
        <v/>
      </c>
      <c r="Z89" s="207"/>
      <c r="AA89" s="18" t="str">
        <f>IF(Table1323[[#This Row],[Selected for Implementation]]="Yes",IF(Table1323[[#This Row],[No]]="","",(CONCATENATE("Light_"&amp;Table1323[[#This Row],[Rebate Category]]&amp;Table1323[[#This Row],[LED lamp/luminaire retrofit part '#]]))),"")</f>
        <v/>
      </c>
      <c r="AB89" s="20" t="str" cm="1">
        <f t="array" ref="AB89">IFERROR(IF(Table1323[[#This Row],[Annual hours from space type]]&gt;=Table14[],Table1323[[#This Row],[Demand Savings, kW]],0),0)</f>
        <v/>
      </c>
      <c r="AC89" s="19" t="str">
        <f>IFERROR(INDEX(Table1[BC Hydro xRM ECM],MATCH(Table1323[[#This Row],[Rebate Category]],Table1[BC Hydro Rebate Category],0)),"")</f>
        <v/>
      </c>
      <c r="AD89" s="18">
        <f>IF(Table1323[[#This Row],[Selected for Implementation]]="Yes",1,0)</f>
        <v>0</v>
      </c>
      <c r="AE89" s="18" t="e">
        <f>Table1323[[#This Row],[Implement]]*Table1323[[#This Row],[Demand Savings, kW]]</f>
        <v>#VALUE!</v>
      </c>
      <c r="AF89" s="18" t="e">
        <f>Table1323[[#This Row],[Implement]]*Table1323[[#This Row],[BCH Peak kW]]</f>
        <v>#VALUE!</v>
      </c>
      <c r="AG89" s="18">
        <f>Table1323[[#This Row],[Implement]]*Table1323[[#This Row],[Rebate kWh savings]]</f>
        <v>0</v>
      </c>
      <c r="AH89" s="18">
        <f>Table1323[[#This Row],[Implement]]*Table1323[[#This Row],[Controls Rebate kWh Savings]]</f>
        <v>0</v>
      </c>
      <c r="AI89" s="233">
        <f>Table1323[[#This Row],[Implement]]*Table1323[[#This Row],[Controls Rebate]]</f>
        <v>0</v>
      </c>
      <c r="AJ89" s="569">
        <f>IF(Table1323[[#This Row],[iControls Incentives]]&gt;0,Table1323[[#This Row],[Number of  sensors]],0)</f>
        <v>0</v>
      </c>
      <c r="AK89" s="233">
        <f>Table1323[[#This Row],[Implement]]*Table1323[[#This Row],[Lighting Rebate]]</f>
        <v>0</v>
      </c>
    </row>
    <row r="90" spans="2:37" ht="32.15" customHeight="1" x14ac:dyDescent="0.3">
      <c r="B90" s="17" t="str">
        <f>IF(Table1323[[#This Row],[Space Type]]="","","L-"&amp;ROW(84:84))</f>
        <v/>
      </c>
      <c r="C90" s="206"/>
      <c r="D90" s="207"/>
      <c r="E90" s="207"/>
      <c r="F90" s="207"/>
      <c r="G90" s="208" t="str">
        <f>IFERROR(IF(Table1323[[#This Row],[No]]="","",IF(Table1323[[#This Row],[Space Type]]="","select Space Type",INDEX(Table5[Hours],MATCH(Table1323[[#This Row],[Space Type]],Table5[Space Type],0)))),"")</f>
        <v/>
      </c>
      <c r="H90" s="207"/>
      <c r="I90" s="207"/>
      <c r="J90" s="613" t="str">
        <f>IFERROR(INDEX(Table1[Integrated Controls Capable],MATCH(Table1323[[#This Row],[Rebate Category]],Table1[BC Hydro Rebate Category],0)),"")</f>
        <v/>
      </c>
      <c r="K90" s="207"/>
      <c r="L90" s="572" t="str" cm="1">
        <f t="array" ref="L90">IFERROR(INDEX(Table1[Rebate],MATCH(Table1323[[#This Row],[Rebate Category]],Table1[BC Hydro Rebate Category],0))+IF(AND(Table1323[[#This Row],[Integrated Controls Capable]],Table1323[[#This Row],[Fixture Integrated Occupancy/Daylight Harvesting Sensors?]]="Yes"),Table6[],0),"")</f>
        <v/>
      </c>
      <c r="M90" s="574" t="str">
        <f>IFERROR(IF(AND(Table1323[[#This Row],[Integrated Controls Capable]],Table1323[[#This Row],[Fixture Integrated Occupancy/Daylight Harvesting Sensors?]]="Yes"),"per integrated luminaire", INDEX(Table1[Rebate Unit],MATCH(Table1323[[#This Row],[Rebate Category]],Table1[BC Hydro Rebate Category],0))),"")</f>
        <v/>
      </c>
      <c r="N90" s="207"/>
      <c r="O90" s="207"/>
      <c r="P90" s="206"/>
      <c r="Q90" s="209">
        <f>IFERROR(Table1323[[#This Row],[Rebate per luminaire, ($)]]*Table1323[[#This Row],[Quantity of luminaires or lamps]],0)</f>
        <v>0</v>
      </c>
      <c r="R9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90" s="211" t="str">
        <f>IFERROR(IF(Table1323[[#This Row],[Quantity of luminaires or lamps]]="","",IF(Table1323[[#This Row],[Controls Rebate]]="",0,Table1323[[#This Row],[Controls Rebate]])+Table1323[[#This Row],[Lighting Rebate]]),"")</f>
        <v/>
      </c>
      <c r="T9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90" s="213">
        <f>IFERROR(Table1323[[#This Row],[Rebate kW Savings]]*Table1323[[#This Row],[Annual hours from space type]],0)</f>
        <v>0</v>
      </c>
      <c r="V9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90" s="213">
        <f>Table1323[[#This Row],[Rebate kWh savings]]+Table1323[[#This Row],[Controls Rebate kWh Savings]]</f>
        <v>0</v>
      </c>
      <c r="X90" s="214" t="str">
        <f>IFERROR(IF(Table1323[[#This Row],[Quantity of luminaires or lamps]]="","",Table1323[[#This Row],[Rebate kW Savings]]),0)</f>
        <v/>
      </c>
      <c r="Y90" s="215" t="str">
        <f>IFERROR(IF(Table1323[[#This Row],[Quantity of luminaires or lamps]]="","",Table1323[[#This Row],[Total Lighting Rebate Energy Savings]]),0)</f>
        <v/>
      </c>
      <c r="Z90" s="207"/>
      <c r="AA90" s="18" t="str">
        <f>IF(Table1323[[#This Row],[Selected for Implementation]]="Yes",IF(Table1323[[#This Row],[No]]="","",(CONCATENATE("Light_"&amp;Table1323[[#This Row],[Rebate Category]]&amp;Table1323[[#This Row],[LED lamp/luminaire retrofit part '#]]))),"")</f>
        <v/>
      </c>
      <c r="AB90" s="20" t="str" cm="1">
        <f t="array" ref="AB90">IFERROR(IF(Table1323[[#This Row],[Annual hours from space type]]&gt;=Table14[],Table1323[[#This Row],[Demand Savings, kW]],0),0)</f>
        <v/>
      </c>
      <c r="AC90" s="19" t="str">
        <f>IFERROR(INDEX(Table1[BC Hydro xRM ECM],MATCH(Table1323[[#This Row],[Rebate Category]],Table1[BC Hydro Rebate Category],0)),"")</f>
        <v/>
      </c>
      <c r="AD90" s="18">
        <f>IF(Table1323[[#This Row],[Selected for Implementation]]="Yes",1,0)</f>
        <v>0</v>
      </c>
      <c r="AE90" s="18" t="e">
        <f>Table1323[[#This Row],[Implement]]*Table1323[[#This Row],[Demand Savings, kW]]</f>
        <v>#VALUE!</v>
      </c>
      <c r="AF90" s="18" t="e">
        <f>Table1323[[#This Row],[Implement]]*Table1323[[#This Row],[BCH Peak kW]]</f>
        <v>#VALUE!</v>
      </c>
      <c r="AG90" s="18">
        <f>Table1323[[#This Row],[Implement]]*Table1323[[#This Row],[Rebate kWh savings]]</f>
        <v>0</v>
      </c>
      <c r="AH90" s="18">
        <f>Table1323[[#This Row],[Implement]]*Table1323[[#This Row],[Controls Rebate kWh Savings]]</f>
        <v>0</v>
      </c>
      <c r="AI90" s="233">
        <f>Table1323[[#This Row],[Implement]]*Table1323[[#This Row],[Controls Rebate]]</f>
        <v>0</v>
      </c>
      <c r="AJ90" s="569">
        <f>IF(Table1323[[#This Row],[iControls Incentives]]&gt;0,Table1323[[#This Row],[Number of  sensors]],0)</f>
        <v>0</v>
      </c>
      <c r="AK90" s="233">
        <f>Table1323[[#This Row],[Implement]]*Table1323[[#This Row],[Lighting Rebate]]</f>
        <v>0</v>
      </c>
    </row>
    <row r="91" spans="2:37" ht="32.15" customHeight="1" x14ac:dyDescent="0.3">
      <c r="B91" s="17" t="str">
        <f>IF(Table1323[[#This Row],[Space Type]]="","","L-"&amp;ROW(85:85))</f>
        <v/>
      </c>
      <c r="C91" s="206"/>
      <c r="D91" s="207"/>
      <c r="E91" s="207"/>
      <c r="F91" s="207"/>
      <c r="G91" s="208" t="str">
        <f>IFERROR(IF(Table1323[[#This Row],[No]]="","",IF(Table1323[[#This Row],[Space Type]]="","select Space Type",INDEX(Table5[Hours],MATCH(Table1323[[#This Row],[Space Type]],Table5[Space Type],0)))),"")</f>
        <v/>
      </c>
      <c r="H91" s="207"/>
      <c r="I91" s="207"/>
      <c r="J91" s="613" t="str">
        <f>IFERROR(INDEX(Table1[Integrated Controls Capable],MATCH(Table1323[[#This Row],[Rebate Category]],Table1[BC Hydro Rebate Category],0)),"")</f>
        <v/>
      </c>
      <c r="K91" s="207"/>
      <c r="L91" s="572" t="str" cm="1">
        <f t="array" ref="L91">IFERROR(INDEX(Table1[Rebate],MATCH(Table1323[[#This Row],[Rebate Category]],Table1[BC Hydro Rebate Category],0))+IF(AND(Table1323[[#This Row],[Integrated Controls Capable]],Table1323[[#This Row],[Fixture Integrated Occupancy/Daylight Harvesting Sensors?]]="Yes"),Table6[],0),"")</f>
        <v/>
      </c>
      <c r="M91" s="574" t="str">
        <f>IFERROR(IF(AND(Table1323[[#This Row],[Integrated Controls Capable]],Table1323[[#This Row],[Fixture Integrated Occupancy/Daylight Harvesting Sensors?]]="Yes"),"per integrated luminaire", INDEX(Table1[Rebate Unit],MATCH(Table1323[[#This Row],[Rebate Category]],Table1[BC Hydro Rebate Category],0))),"")</f>
        <v/>
      </c>
      <c r="N91" s="207"/>
      <c r="O91" s="207"/>
      <c r="P91" s="206"/>
      <c r="Q91" s="209">
        <f>IFERROR(Table1323[[#This Row],[Rebate per luminaire, ($)]]*Table1323[[#This Row],[Quantity of luminaires or lamps]],0)</f>
        <v>0</v>
      </c>
      <c r="R9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91" s="211" t="str">
        <f>IFERROR(IF(Table1323[[#This Row],[Quantity of luminaires or lamps]]="","",IF(Table1323[[#This Row],[Controls Rebate]]="",0,Table1323[[#This Row],[Controls Rebate]])+Table1323[[#This Row],[Lighting Rebate]]),"")</f>
        <v/>
      </c>
      <c r="T9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91" s="213">
        <f>IFERROR(Table1323[[#This Row],[Rebate kW Savings]]*Table1323[[#This Row],[Annual hours from space type]],0)</f>
        <v>0</v>
      </c>
      <c r="V9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91" s="213">
        <f>Table1323[[#This Row],[Rebate kWh savings]]+Table1323[[#This Row],[Controls Rebate kWh Savings]]</f>
        <v>0</v>
      </c>
      <c r="X91" s="214" t="str">
        <f>IFERROR(IF(Table1323[[#This Row],[Quantity of luminaires or lamps]]="","",Table1323[[#This Row],[Rebate kW Savings]]),0)</f>
        <v/>
      </c>
      <c r="Y91" s="215" t="str">
        <f>IFERROR(IF(Table1323[[#This Row],[Quantity of luminaires or lamps]]="","",Table1323[[#This Row],[Total Lighting Rebate Energy Savings]]),0)</f>
        <v/>
      </c>
      <c r="Z91" s="207"/>
      <c r="AA91" s="18" t="str">
        <f>IF(Table1323[[#This Row],[Selected for Implementation]]="Yes",IF(Table1323[[#This Row],[No]]="","",(CONCATENATE("Light_"&amp;Table1323[[#This Row],[Rebate Category]]&amp;Table1323[[#This Row],[LED lamp/luminaire retrofit part '#]]))),"")</f>
        <v/>
      </c>
      <c r="AB91" s="20" t="str" cm="1">
        <f t="array" ref="AB91">IFERROR(IF(Table1323[[#This Row],[Annual hours from space type]]&gt;=Table14[],Table1323[[#This Row],[Demand Savings, kW]],0),0)</f>
        <v/>
      </c>
      <c r="AC91" s="19" t="str">
        <f>IFERROR(INDEX(Table1[BC Hydro xRM ECM],MATCH(Table1323[[#This Row],[Rebate Category]],Table1[BC Hydro Rebate Category],0)),"")</f>
        <v/>
      </c>
      <c r="AD91" s="18">
        <f>IF(Table1323[[#This Row],[Selected for Implementation]]="Yes",1,0)</f>
        <v>0</v>
      </c>
      <c r="AE91" s="18" t="e">
        <f>Table1323[[#This Row],[Implement]]*Table1323[[#This Row],[Demand Savings, kW]]</f>
        <v>#VALUE!</v>
      </c>
      <c r="AF91" s="18" t="e">
        <f>Table1323[[#This Row],[Implement]]*Table1323[[#This Row],[BCH Peak kW]]</f>
        <v>#VALUE!</v>
      </c>
      <c r="AG91" s="18">
        <f>Table1323[[#This Row],[Implement]]*Table1323[[#This Row],[Rebate kWh savings]]</f>
        <v>0</v>
      </c>
      <c r="AH91" s="18">
        <f>Table1323[[#This Row],[Implement]]*Table1323[[#This Row],[Controls Rebate kWh Savings]]</f>
        <v>0</v>
      </c>
      <c r="AI91" s="233">
        <f>Table1323[[#This Row],[Implement]]*Table1323[[#This Row],[Controls Rebate]]</f>
        <v>0</v>
      </c>
      <c r="AJ91" s="569">
        <f>IF(Table1323[[#This Row],[iControls Incentives]]&gt;0,Table1323[[#This Row],[Number of  sensors]],0)</f>
        <v>0</v>
      </c>
      <c r="AK91" s="233">
        <f>Table1323[[#This Row],[Implement]]*Table1323[[#This Row],[Lighting Rebate]]</f>
        <v>0</v>
      </c>
    </row>
    <row r="92" spans="2:37" ht="32.15" customHeight="1" x14ac:dyDescent="0.3">
      <c r="B92" s="17" t="str">
        <f>IF(Table1323[[#This Row],[Space Type]]="","","L-"&amp;ROW(86:86))</f>
        <v/>
      </c>
      <c r="C92" s="206"/>
      <c r="D92" s="207"/>
      <c r="E92" s="207"/>
      <c r="F92" s="207"/>
      <c r="G92" s="208" t="str">
        <f>IFERROR(IF(Table1323[[#This Row],[No]]="","",IF(Table1323[[#This Row],[Space Type]]="","select Space Type",INDEX(Table5[Hours],MATCH(Table1323[[#This Row],[Space Type]],Table5[Space Type],0)))),"")</f>
        <v/>
      </c>
      <c r="H92" s="207"/>
      <c r="I92" s="207"/>
      <c r="J92" s="613" t="str">
        <f>IFERROR(INDEX(Table1[Integrated Controls Capable],MATCH(Table1323[[#This Row],[Rebate Category]],Table1[BC Hydro Rebate Category],0)),"")</f>
        <v/>
      </c>
      <c r="K92" s="207"/>
      <c r="L92" s="572" t="str" cm="1">
        <f t="array" ref="L92">IFERROR(INDEX(Table1[Rebate],MATCH(Table1323[[#This Row],[Rebate Category]],Table1[BC Hydro Rebate Category],0))+IF(AND(Table1323[[#This Row],[Integrated Controls Capable]],Table1323[[#This Row],[Fixture Integrated Occupancy/Daylight Harvesting Sensors?]]="Yes"),Table6[],0),"")</f>
        <v/>
      </c>
      <c r="M92" s="574" t="str">
        <f>IFERROR(IF(AND(Table1323[[#This Row],[Integrated Controls Capable]],Table1323[[#This Row],[Fixture Integrated Occupancy/Daylight Harvesting Sensors?]]="Yes"),"per integrated luminaire", INDEX(Table1[Rebate Unit],MATCH(Table1323[[#This Row],[Rebate Category]],Table1[BC Hydro Rebate Category],0))),"")</f>
        <v/>
      </c>
      <c r="N92" s="207"/>
      <c r="O92" s="207"/>
      <c r="P92" s="206"/>
      <c r="Q92" s="209">
        <f>IFERROR(Table1323[[#This Row],[Rebate per luminaire, ($)]]*Table1323[[#This Row],[Quantity of luminaires or lamps]],0)</f>
        <v>0</v>
      </c>
      <c r="R9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92" s="211" t="str">
        <f>IFERROR(IF(Table1323[[#This Row],[Quantity of luminaires or lamps]]="","",IF(Table1323[[#This Row],[Controls Rebate]]="",0,Table1323[[#This Row],[Controls Rebate]])+Table1323[[#This Row],[Lighting Rebate]]),"")</f>
        <v/>
      </c>
      <c r="T9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92" s="213">
        <f>IFERROR(Table1323[[#This Row],[Rebate kW Savings]]*Table1323[[#This Row],[Annual hours from space type]],0)</f>
        <v>0</v>
      </c>
      <c r="V9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92" s="213">
        <f>Table1323[[#This Row],[Rebate kWh savings]]+Table1323[[#This Row],[Controls Rebate kWh Savings]]</f>
        <v>0</v>
      </c>
      <c r="X92" s="214" t="str">
        <f>IFERROR(IF(Table1323[[#This Row],[Quantity of luminaires or lamps]]="","",Table1323[[#This Row],[Rebate kW Savings]]),0)</f>
        <v/>
      </c>
      <c r="Y92" s="215" t="str">
        <f>IFERROR(IF(Table1323[[#This Row],[Quantity of luminaires or lamps]]="","",Table1323[[#This Row],[Total Lighting Rebate Energy Savings]]),0)</f>
        <v/>
      </c>
      <c r="Z92" s="207"/>
      <c r="AA92" s="18" t="str">
        <f>IF(Table1323[[#This Row],[Selected for Implementation]]="Yes",IF(Table1323[[#This Row],[No]]="","",(CONCATENATE("Light_"&amp;Table1323[[#This Row],[Rebate Category]]&amp;Table1323[[#This Row],[LED lamp/luminaire retrofit part '#]]))),"")</f>
        <v/>
      </c>
      <c r="AB92" s="20" t="str" cm="1">
        <f t="array" ref="AB92">IFERROR(IF(Table1323[[#This Row],[Annual hours from space type]]&gt;=Table14[],Table1323[[#This Row],[Demand Savings, kW]],0),0)</f>
        <v/>
      </c>
      <c r="AC92" s="19" t="str">
        <f>IFERROR(INDEX(Table1[BC Hydro xRM ECM],MATCH(Table1323[[#This Row],[Rebate Category]],Table1[BC Hydro Rebate Category],0)),"")</f>
        <v/>
      </c>
      <c r="AD92" s="18">
        <f>IF(Table1323[[#This Row],[Selected for Implementation]]="Yes",1,0)</f>
        <v>0</v>
      </c>
      <c r="AE92" s="18" t="e">
        <f>Table1323[[#This Row],[Implement]]*Table1323[[#This Row],[Demand Savings, kW]]</f>
        <v>#VALUE!</v>
      </c>
      <c r="AF92" s="18" t="e">
        <f>Table1323[[#This Row],[Implement]]*Table1323[[#This Row],[BCH Peak kW]]</f>
        <v>#VALUE!</v>
      </c>
      <c r="AG92" s="18">
        <f>Table1323[[#This Row],[Implement]]*Table1323[[#This Row],[Rebate kWh savings]]</f>
        <v>0</v>
      </c>
      <c r="AH92" s="18">
        <f>Table1323[[#This Row],[Implement]]*Table1323[[#This Row],[Controls Rebate kWh Savings]]</f>
        <v>0</v>
      </c>
      <c r="AI92" s="233">
        <f>Table1323[[#This Row],[Implement]]*Table1323[[#This Row],[Controls Rebate]]</f>
        <v>0</v>
      </c>
      <c r="AJ92" s="569">
        <f>IF(Table1323[[#This Row],[iControls Incentives]]&gt;0,Table1323[[#This Row],[Number of  sensors]],0)</f>
        <v>0</v>
      </c>
      <c r="AK92" s="233">
        <f>Table1323[[#This Row],[Implement]]*Table1323[[#This Row],[Lighting Rebate]]</f>
        <v>0</v>
      </c>
    </row>
    <row r="93" spans="2:37" ht="32.15" customHeight="1" x14ac:dyDescent="0.3">
      <c r="B93" s="17" t="str">
        <f>IF(Table1323[[#This Row],[Space Type]]="","","L-"&amp;ROW(87:87))</f>
        <v/>
      </c>
      <c r="C93" s="206"/>
      <c r="D93" s="207"/>
      <c r="E93" s="207"/>
      <c r="F93" s="207"/>
      <c r="G93" s="208" t="str">
        <f>IFERROR(IF(Table1323[[#This Row],[No]]="","",IF(Table1323[[#This Row],[Space Type]]="","select Space Type",INDEX(Table5[Hours],MATCH(Table1323[[#This Row],[Space Type]],Table5[Space Type],0)))),"")</f>
        <v/>
      </c>
      <c r="H93" s="207"/>
      <c r="I93" s="207"/>
      <c r="J93" s="613" t="str">
        <f>IFERROR(INDEX(Table1[Integrated Controls Capable],MATCH(Table1323[[#This Row],[Rebate Category]],Table1[BC Hydro Rebate Category],0)),"")</f>
        <v/>
      </c>
      <c r="K93" s="207"/>
      <c r="L93" s="572" t="str" cm="1">
        <f t="array" ref="L93">IFERROR(INDEX(Table1[Rebate],MATCH(Table1323[[#This Row],[Rebate Category]],Table1[BC Hydro Rebate Category],0))+IF(AND(Table1323[[#This Row],[Integrated Controls Capable]],Table1323[[#This Row],[Fixture Integrated Occupancy/Daylight Harvesting Sensors?]]="Yes"),Table6[],0),"")</f>
        <v/>
      </c>
      <c r="M93" s="574" t="str">
        <f>IFERROR(IF(AND(Table1323[[#This Row],[Integrated Controls Capable]],Table1323[[#This Row],[Fixture Integrated Occupancy/Daylight Harvesting Sensors?]]="Yes"),"per integrated luminaire", INDEX(Table1[Rebate Unit],MATCH(Table1323[[#This Row],[Rebate Category]],Table1[BC Hydro Rebate Category],0))),"")</f>
        <v/>
      </c>
      <c r="N93" s="207"/>
      <c r="O93" s="207"/>
      <c r="P93" s="206"/>
      <c r="Q93" s="209">
        <f>IFERROR(Table1323[[#This Row],[Rebate per luminaire, ($)]]*Table1323[[#This Row],[Quantity of luminaires or lamps]],0)</f>
        <v>0</v>
      </c>
      <c r="R9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93" s="211" t="str">
        <f>IFERROR(IF(Table1323[[#This Row],[Quantity of luminaires or lamps]]="","",IF(Table1323[[#This Row],[Controls Rebate]]="",0,Table1323[[#This Row],[Controls Rebate]])+Table1323[[#This Row],[Lighting Rebate]]),"")</f>
        <v/>
      </c>
      <c r="T9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93" s="213">
        <f>IFERROR(Table1323[[#This Row],[Rebate kW Savings]]*Table1323[[#This Row],[Annual hours from space type]],0)</f>
        <v>0</v>
      </c>
      <c r="V9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93" s="213">
        <f>Table1323[[#This Row],[Rebate kWh savings]]+Table1323[[#This Row],[Controls Rebate kWh Savings]]</f>
        <v>0</v>
      </c>
      <c r="X93" s="214" t="str">
        <f>IFERROR(IF(Table1323[[#This Row],[Quantity of luminaires or lamps]]="","",Table1323[[#This Row],[Rebate kW Savings]]),0)</f>
        <v/>
      </c>
      <c r="Y93" s="215" t="str">
        <f>IFERROR(IF(Table1323[[#This Row],[Quantity of luminaires or lamps]]="","",Table1323[[#This Row],[Total Lighting Rebate Energy Savings]]),0)</f>
        <v/>
      </c>
      <c r="Z93" s="207"/>
      <c r="AA93" s="18" t="str">
        <f>IF(Table1323[[#This Row],[Selected for Implementation]]="Yes",IF(Table1323[[#This Row],[No]]="","",(CONCATENATE("Light_"&amp;Table1323[[#This Row],[Rebate Category]]&amp;Table1323[[#This Row],[LED lamp/luminaire retrofit part '#]]))),"")</f>
        <v/>
      </c>
      <c r="AB93" s="20" t="str" cm="1">
        <f t="array" ref="AB93">IFERROR(IF(Table1323[[#This Row],[Annual hours from space type]]&gt;=Table14[],Table1323[[#This Row],[Demand Savings, kW]],0),0)</f>
        <v/>
      </c>
      <c r="AC93" s="19" t="str">
        <f>IFERROR(INDEX(Table1[BC Hydro xRM ECM],MATCH(Table1323[[#This Row],[Rebate Category]],Table1[BC Hydro Rebate Category],0)),"")</f>
        <v/>
      </c>
      <c r="AD93" s="18">
        <f>IF(Table1323[[#This Row],[Selected for Implementation]]="Yes",1,0)</f>
        <v>0</v>
      </c>
      <c r="AE93" s="18" t="e">
        <f>Table1323[[#This Row],[Implement]]*Table1323[[#This Row],[Demand Savings, kW]]</f>
        <v>#VALUE!</v>
      </c>
      <c r="AF93" s="18" t="e">
        <f>Table1323[[#This Row],[Implement]]*Table1323[[#This Row],[BCH Peak kW]]</f>
        <v>#VALUE!</v>
      </c>
      <c r="AG93" s="18">
        <f>Table1323[[#This Row],[Implement]]*Table1323[[#This Row],[Rebate kWh savings]]</f>
        <v>0</v>
      </c>
      <c r="AH93" s="18">
        <f>Table1323[[#This Row],[Implement]]*Table1323[[#This Row],[Controls Rebate kWh Savings]]</f>
        <v>0</v>
      </c>
      <c r="AI93" s="233">
        <f>Table1323[[#This Row],[Implement]]*Table1323[[#This Row],[Controls Rebate]]</f>
        <v>0</v>
      </c>
      <c r="AJ93" s="569">
        <f>IF(Table1323[[#This Row],[iControls Incentives]]&gt;0,Table1323[[#This Row],[Number of  sensors]],0)</f>
        <v>0</v>
      </c>
      <c r="AK93" s="233">
        <f>Table1323[[#This Row],[Implement]]*Table1323[[#This Row],[Lighting Rebate]]</f>
        <v>0</v>
      </c>
    </row>
    <row r="94" spans="2:37" ht="32.15" customHeight="1" x14ac:dyDescent="0.3">
      <c r="B94" s="17" t="str">
        <f>IF(Table1323[[#This Row],[Space Type]]="","","L-"&amp;ROW(88:88))</f>
        <v/>
      </c>
      <c r="C94" s="206"/>
      <c r="D94" s="207"/>
      <c r="E94" s="207"/>
      <c r="F94" s="207"/>
      <c r="G94" s="208" t="str">
        <f>IFERROR(IF(Table1323[[#This Row],[No]]="","",IF(Table1323[[#This Row],[Space Type]]="","select Space Type",INDEX(Table5[Hours],MATCH(Table1323[[#This Row],[Space Type]],Table5[Space Type],0)))),"")</f>
        <v/>
      </c>
      <c r="H94" s="207"/>
      <c r="I94" s="207"/>
      <c r="J94" s="613" t="str">
        <f>IFERROR(INDEX(Table1[Integrated Controls Capable],MATCH(Table1323[[#This Row],[Rebate Category]],Table1[BC Hydro Rebate Category],0)),"")</f>
        <v/>
      </c>
      <c r="K94" s="207"/>
      <c r="L94" s="572" t="str" cm="1">
        <f t="array" ref="L94">IFERROR(INDEX(Table1[Rebate],MATCH(Table1323[[#This Row],[Rebate Category]],Table1[BC Hydro Rebate Category],0))+IF(AND(Table1323[[#This Row],[Integrated Controls Capable]],Table1323[[#This Row],[Fixture Integrated Occupancy/Daylight Harvesting Sensors?]]="Yes"),Table6[],0),"")</f>
        <v/>
      </c>
      <c r="M94" s="574" t="str">
        <f>IFERROR(IF(AND(Table1323[[#This Row],[Integrated Controls Capable]],Table1323[[#This Row],[Fixture Integrated Occupancy/Daylight Harvesting Sensors?]]="Yes"),"per integrated luminaire", INDEX(Table1[Rebate Unit],MATCH(Table1323[[#This Row],[Rebate Category]],Table1[BC Hydro Rebate Category],0))),"")</f>
        <v/>
      </c>
      <c r="N94" s="207"/>
      <c r="O94" s="207"/>
      <c r="P94" s="206"/>
      <c r="Q94" s="209">
        <f>IFERROR(Table1323[[#This Row],[Rebate per luminaire, ($)]]*Table1323[[#This Row],[Quantity of luminaires or lamps]],0)</f>
        <v>0</v>
      </c>
      <c r="R9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94" s="211" t="str">
        <f>IFERROR(IF(Table1323[[#This Row],[Quantity of luminaires or lamps]]="","",IF(Table1323[[#This Row],[Controls Rebate]]="",0,Table1323[[#This Row],[Controls Rebate]])+Table1323[[#This Row],[Lighting Rebate]]),"")</f>
        <v/>
      </c>
      <c r="T9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94" s="213">
        <f>IFERROR(Table1323[[#This Row],[Rebate kW Savings]]*Table1323[[#This Row],[Annual hours from space type]],0)</f>
        <v>0</v>
      </c>
      <c r="V9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94" s="213">
        <f>Table1323[[#This Row],[Rebate kWh savings]]+Table1323[[#This Row],[Controls Rebate kWh Savings]]</f>
        <v>0</v>
      </c>
      <c r="X94" s="214" t="str">
        <f>IFERROR(IF(Table1323[[#This Row],[Quantity of luminaires or lamps]]="","",Table1323[[#This Row],[Rebate kW Savings]]),0)</f>
        <v/>
      </c>
      <c r="Y94" s="215" t="str">
        <f>IFERROR(IF(Table1323[[#This Row],[Quantity of luminaires or lamps]]="","",Table1323[[#This Row],[Total Lighting Rebate Energy Savings]]),0)</f>
        <v/>
      </c>
      <c r="Z94" s="207"/>
      <c r="AA94" s="18" t="str">
        <f>IF(Table1323[[#This Row],[Selected for Implementation]]="Yes",IF(Table1323[[#This Row],[No]]="","",(CONCATENATE("Light_"&amp;Table1323[[#This Row],[Rebate Category]]&amp;Table1323[[#This Row],[LED lamp/luminaire retrofit part '#]]))),"")</f>
        <v/>
      </c>
      <c r="AB94" s="20" t="str" cm="1">
        <f t="array" ref="AB94">IFERROR(IF(Table1323[[#This Row],[Annual hours from space type]]&gt;=Table14[],Table1323[[#This Row],[Demand Savings, kW]],0),0)</f>
        <v/>
      </c>
      <c r="AC94" s="19" t="str">
        <f>IFERROR(INDEX(Table1[BC Hydro xRM ECM],MATCH(Table1323[[#This Row],[Rebate Category]],Table1[BC Hydro Rebate Category],0)),"")</f>
        <v/>
      </c>
      <c r="AD94" s="18">
        <f>IF(Table1323[[#This Row],[Selected for Implementation]]="Yes",1,0)</f>
        <v>0</v>
      </c>
      <c r="AE94" s="18" t="e">
        <f>Table1323[[#This Row],[Implement]]*Table1323[[#This Row],[Demand Savings, kW]]</f>
        <v>#VALUE!</v>
      </c>
      <c r="AF94" s="18" t="e">
        <f>Table1323[[#This Row],[Implement]]*Table1323[[#This Row],[BCH Peak kW]]</f>
        <v>#VALUE!</v>
      </c>
      <c r="AG94" s="18">
        <f>Table1323[[#This Row],[Implement]]*Table1323[[#This Row],[Rebate kWh savings]]</f>
        <v>0</v>
      </c>
      <c r="AH94" s="18">
        <f>Table1323[[#This Row],[Implement]]*Table1323[[#This Row],[Controls Rebate kWh Savings]]</f>
        <v>0</v>
      </c>
      <c r="AI94" s="233">
        <f>Table1323[[#This Row],[Implement]]*Table1323[[#This Row],[Controls Rebate]]</f>
        <v>0</v>
      </c>
      <c r="AJ94" s="569">
        <f>IF(Table1323[[#This Row],[iControls Incentives]]&gt;0,Table1323[[#This Row],[Number of  sensors]],0)</f>
        <v>0</v>
      </c>
      <c r="AK94" s="233">
        <f>Table1323[[#This Row],[Implement]]*Table1323[[#This Row],[Lighting Rebate]]</f>
        <v>0</v>
      </c>
    </row>
    <row r="95" spans="2:37" ht="32.15" customHeight="1" x14ac:dyDescent="0.3">
      <c r="B95" s="17" t="str">
        <f>IF(Table1323[[#This Row],[Space Type]]="","","L-"&amp;ROW(89:89))</f>
        <v/>
      </c>
      <c r="C95" s="206"/>
      <c r="D95" s="207"/>
      <c r="E95" s="207"/>
      <c r="F95" s="207"/>
      <c r="G95" s="208" t="str">
        <f>IFERROR(IF(Table1323[[#This Row],[No]]="","",IF(Table1323[[#This Row],[Space Type]]="","select Space Type",INDEX(Table5[Hours],MATCH(Table1323[[#This Row],[Space Type]],Table5[Space Type],0)))),"")</f>
        <v/>
      </c>
      <c r="H95" s="207"/>
      <c r="I95" s="207"/>
      <c r="J95" s="613" t="str">
        <f>IFERROR(INDEX(Table1[Integrated Controls Capable],MATCH(Table1323[[#This Row],[Rebate Category]],Table1[BC Hydro Rebate Category],0)),"")</f>
        <v/>
      </c>
      <c r="K95" s="207"/>
      <c r="L95" s="572" t="str" cm="1">
        <f t="array" ref="L95">IFERROR(INDEX(Table1[Rebate],MATCH(Table1323[[#This Row],[Rebate Category]],Table1[BC Hydro Rebate Category],0))+IF(AND(Table1323[[#This Row],[Integrated Controls Capable]],Table1323[[#This Row],[Fixture Integrated Occupancy/Daylight Harvesting Sensors?]]="Yes"),Table6[],0),"")</f>
        <v/>
      </c>
      <c r="M95" s="574" t="str">
        <f>IFERROR(IF(AND(Table1323[[#This Row],[Integrated Controls Capable]],Table1323[[#This Row],[Fixture Integrated Occupancy/Daylight Harvesting Sensors?]]="Yes"),"per integrated luminaire", INDEX(Table1[Rebate Unit],MATCH(Table1323[[#This Row],[Rebate Category]],Table1[BC Hydro Rebate Category],0))),"")</f>
        <v/>
      </c>
      <c r="N95" s="207"/>
      <c r="O95" s="207"/>
      <c r="P95" s="206"/>
      <c r="Q95" s="209">
        <f>IFERROR(Table1323[[#This Row],[Rebate per luminaire, ($)]]*Table1323[[#This Row],[Quantity of luminaires or lamps]],0)</f>
        <v>0</v>
      </c>
      <c r="R9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95" s="211" t="str">
        <f>IFERROR(IF(Table1323[[#This Row],[Quantity of luminaires or lamps]]="","",IF(Table1323[[#This Row],[Controls Rebate]]="",0,Table1323[[#This Row],[Controls Rebate]])+Table1323[[#This Row],[Lighting Rebate]]),"")</f>
        <v/>
      </c>
      <c r="T9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95" s="213">
        <f>IFERROR(Table1323[[#This Row],[Rebate kW Savings]]*Table1323[[#This Row],[Annual hours from space type]],0)</f>
        <v>0</v>
      </c>
      <c r="V9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95" s="213">
        <f>Table1323[[#This Row],[Rebate kWh savings]]+Table1323[[#This Row],[Controls Rebate kWh Savings]]</f>
        <v>0</v>
      </c>
      <c r="X95" s="214" t="str">
        <f>IFERROR(IF(Table1323[[#This Row],[Quantity of luminaires or lamps]]="","",Table1323[[#This Row],[Rebate kW Savings]]),0)</f>
        <v/>
      </c>
      <c r="Y95" s="215" t="str">
        <f>IFERROR(IF(Table1323[[#This Row],[Quantity of luminaires or lamps]]="","",Table1323[[#This Row],[Total Lighting Rebate Energy Savings]]),0)</f>
        <v/>
      </c>
      <c r="Z95" s="207"/>
      <c r="AA95" s="18" t="str">
        <f>IF(Table1323[[#This Row],[Selected for Implementation]]="Yes",IF(Table1323[[#This Row],[No]]="","",(CONCATENATE("Light_"&amp;Table1323[[#This Row],[Rebate Category]]&amp;Table1323[[#This Row],[LED lamp/luminaire retrofit part '#]]))),"")</f>
        <v/>
      </c>
      <c r="AB95" s="20" t="str" cm="1">
        <f t="array" ref="AB95">IFERROR(IF(Table1323[[#This Row],[Annual hours from space type]]&gt;=Table14[],Table1323[[#This Row],[Demand Savings, kW]],0),0)</f>
        <v/>
      </c>
      <c r="AC95" s="19" t="str">
        <f>IFERROR(INDEX(Table1[BC Hydro xRM ECM],MATCH(Table1323[[#This Row],[Rebate Category]],Table1[BC Hydro Rebate Category],0)),"")</f>
        <v/>
      </c>
      <c r="AD95" s="18">
        <f>IF(Table1323[[#This Row],[Selected for Implementation]]="Yes",1,0)</f>
        <v>0</v>
      </c>
      <c r="AE95" s="18" t="e">
        <f>Table1323[[#This Row],[Implement]]*Table1323[[#This Row],[Demand Savings, kW]]</f>
        <v>#VALUE!</v>
      </c>
      <c r="AF95" s="18" t="e">
        <f>Table1323[[#This Row],[Implement]]*Table1323[[#This Row],[BCH Peak kW]]</f>
        <v>#VALUE!</v>
      </c>
      <c r="AG95" s="18">
        <f>Table1323[[#This Row],[Implement]]*Table1323[[#This Row],[Rebate kWh savings]]</f>
        <v>0</v>
      </c>
      <c r="AH95" s="18">
        <f>Table1323[[#This Row],[Implement]]*Table1323[[#This Row],[Controls Rebate kWh Savings]]</f>
        <v>0</v>
      </c>
      <c r="AI95" s="233">
        <f>Table1323[[#This Row],[Implement]]*Table1323[[#This Row],[Controls Rebate]]</f>
        <v>0</v>
      </c>
      <c r="AJ95" s="569">
        <f>IF(Table1323[[#This Row],[iControls Incentives]]&gt;0,Table1323[[#This Row],[Number of  sensors]],0)</f>
        <v>0</v>
      </c>
      <c r="AK95" s="233">
        <f>Table1323[[#This Row],[Implement]]*Table1323[[#This Row],[Lighting Rebate]]</f>
        <v>0</v>
      </c>
    </row>
    <row r="96" spans="2:37" ht="32.15" customHeight="1" x14ac:dyDescent="0.3">
      <c r="B96" s="17" t="str">
        <f>IF(Table1323[[#This Row],[Space Type]]="","","L-"&amp;ROW(90:90))</f>
        <v/>
      </c>
      <c r="C96" s="206"/>
      <c r="D96" s="207"/>
      <c r="E96" s="207"/>
      <c r="F96" s="207"/>
      <c r="G96" s="208" t="str">
        <f>IFERROR(IF(Table1323[[#This Row],[No]]="","",IF(Table1323[[#This Row],[Space Type]]="","select Space Type",INDEX(Table5[Hours],MATCH(Table1323[[#This Row],[Space Type]],Table5[Space Type],0)))),"")</f>
        <v/>
      </c>
      <c r="H96" s="207"/>
      <c r="I96" s="207"/>
      <c r="J96" s="613" t="str">
        <f>IFERROR(INDEX(Table1[Integrated Controls Capable],MATCH(Table1323[[#This Row],[Rebate Category]],Table1[BC Hydro Rebate Category],0)),"")</f>
        <v/>
      </c>
      <c r="K96" s="207"/>
      <c r="L96" s="572" t="str" cm="1">
        <f t="array" ref="L96">IFERROR(INDEX(Table1[Rebate],MATCH(Table1323[[#This Row],[Rebate Category]],Table1[BC Hydro Rebate Category],0))+IF(AND(Table1323[[#This Row],[Integrated Controls Capable]],Table1323[[#This Row],[Fixture Integrated Occupancy/Daylight Harvesting Sensors?]]="Yes"),Table6[],0),"")</f>
        <v/>
      </c>
      <c r="M96" s="574" t="str">
        <f>IFERROR(IF(AND(Table1323[[#This Row],[Integrated Controls Capable]],Table1323[[#This Row],[Fixture Integrated Occupancy/Daylight Harvesting Sensors?]]="Yes"),"per integrated luminaire", INDEX(Table1[Rebate Unit],MATCH(Table1323[[#This Row],[Rebate Category]],Table1[BC Hydro Rebate Category],0))),"")</f>
        <v/>
      </c>
      <c r="N96" s="207"/>
      <c r="O96" s="207"/>
      <c r="P96" s="206"/>
      <c r="Q96" s="209">
        <f>IFERROR(Table1323[[#This Row],[Rebate per luminaire, ($)]]*Table1323[[#This Row],[Quantity of luminaires or lamps]],0)</f>
        <v>0</v>
      </c>
      <c r="R9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96" s="211" t="str">
        <f>IFERROR(IF(Table1323[[#This Row],[Quantity of luminaires or lamps]]="","",IF(Table1323[[#This Row],[Controls Rebate]]="",0,Table1323[[#This Row],[Controls Rebate]])+Table1323[[#This Row],[Lighting Rebate]]),"")</f>
        <v/>
      </c>
      <c r="T9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96" s="213">
        <f>IFERROR(Table1323[[#This Row],[Rebate kW Savings]]*Table1323[[#This Row],[Annual hours from space type]],0)</f>
        <v>0</v>
      </c>
      <c r="V9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96" s="213">
        <f>Table1323[[#This Row],[Rebate kWh savings]]+Table1323[[#This Row],[Controls Rebate kWh Savings]]</f>
        <v>0</v>
      </c>
      <c r="X96" s="214" t="str">
        <f>IFERROR(IF(Table1323[[#This Row],[Quantity of luminaires or lamps]]="","",Table1323[[#This Row],[Rebate kW Savings]]),0)</f>
        <v/>
      </c>
      <c r="Y96" s="215" t="str">
        <f>IFERROR(IF(Table1323[[#This Row],[Quantity of luminaires or lamps]]="","",Table1323[[#This Row],[Total Lighting Rebate Energy Savings]]),0)</f>
        <v/>
      </c>
      <c r="Z96" s="207"/>
      <c r="AA96" s="18" t="str">
        <f>IF(Table1323[[#This Row],[Selected for Implementation]]="Yes",IF(Table1323[[#This Row],[No]]="","",(CONCATENATE("Light_"&amp;Table1323[[#This Row],[Rebate Category]]&amp;Table1323[[#This Row],[LED lamp/luminaire retrofit part '#]]))),"")</f>
        <v/>
      </c>
      <c r="AB96" s="20" t="str" cm="1">
        <f t="array" ref="AB96">IFERROR(IF(Table1323[[#This Row],[Annual hours from space type]]&gt;=Table14[],Table1323[[#This Row],[Demand Savings, kW]],0),0)</f>
        <v/>
      </c>
      <c r="AC96" s="19" t="str">
        <f>IFERROR(INDEX(Table1[BC Hydro xRM ECM],MATCH(Table1323[[#This Row],[Rebate Category]],Table1[BC Hydro Rebate Category],0)),"")</f>
        <v/>
      </c>
      <c r="AD96" s="18">
        <f>IF(Table1323[[#This Row],[Selected for Implementation]]="Yes",1,0)</f>
        <v>0</v>
      </c>
      <c r="AE96" s="18" t="e">
        <f>Table1323[[#This Row],[Implement]]*Table1323[[#This Row],[Demand Savings, kW]]</f>
        <v>#VALUE!</v>
      </c>
      <c r="AF96" s="18" t="e">
        <f>Table1323[[#This Row],[Implement]]*Table1323[[#This Row],[BCH Peak kW]]</f>
        <v>#VALUE!</v>
      </c>
      <c r="AG96" s="18">
        <f>Table1323[[#This Row],[Implement]]*Table1323[[#This Row],[Rebate kWh savings]]</f>
        <v>0</v>
      </c>
      <c r="AH96" s="18">
        <f>Table1323[[#This Row],[Implement]]*Table1323[[#This Row],[Controls Rebate kWh Savings]]</f>
        <v>0</v>
      </c>
      <c r="AI96" s="233">
        <f>Table1323[[#This Row],[Implement]]*Table1323[[#This Row],[Controls Rebate]]</f>
        <v>0</v>
      </c>
      <c r="AJ96" s="569">
        <f>IF(Table1323[[#This Row],[iControls Incentives]]&gt;0,Table1323[[#This Row],[Number of  sensors]],0)</f>
        <v>0</v>
      </c>
      <c r="AK96" s="233">
        <f>Table1323[[#This Row],[Implement]]*Table1323[[#This Row],[Lighting Rebate]]</f>
        <v>0</v>
      </c>
    </row>
    <row r="97" spans="2:37" ht="32.15" customHeight="1" x14ac:dyDescent="0.3">
      <c r="B97" s="17" t="str">
        <f>IF(Table1323[[#This Row],[Space Type]]="","","L-"&amp;ROW(91:91))</f>
        <v/>
      </c>
      <c r="C97" s="206"/>
      <c r="D97" s="207"/>
      <c r="E97" s="207"/>
      <c r="F97" s="207"/>
      <c r="G97" s="208" t="str">
        <f>IFERROR(IF(Table1323[[#This Row],[No]]="","",IF(Table1323[[#This Row],[Space Type]]="","select Space Type",INDEX(Table5[Hours],MATCH(Table1323[[#This Row],[Space Type]],Table5[Space Type],0)))),"")</f>
        <v/>
      </c>
      <c r="H97" s="207"/>
      <c r="I97" s="207"/>
      <c r="J97" s="613" t="str">
        <f>IFERROR(INDEX(Table1[Integrated Controls Capable],MATCH(Table1323[[#This Row],[Rebate Category]],Table1[BC Hydro Rebate Category],0)),"")</f>
        <v/>
      </c>
      <c r="K97" s="207"/>
      <c r="L97" s="572" t="str" cm="1">
        <f t="array" ref="L97">IFERROR(INDEX(Table1[Rebate],MATCH(Table1323[[#This Row],[Rebate Category]],Table1[BC Hydro Rebate Category],0))+IF(AND(Table1323[[#This Row],[Integrated Controls Capable]],Table1323[[#This Row],[Fixture Integrated Occupancy/Daylight Harvesting Sensors?]]="Yes"),Table6[],0),"")</f>
        <v/>
      </c>
      <c r="M97" s="574" t="str">
        <f>IFERROR(IF(AND(Table1323[[#This Row],[Integrated Controls Capable]],Table1323[[#This Row],[Fixture Integrated Occupancy/Daylight Harvesting Sensors?]]="Yes"),"per integrated luminaire", INDEX(Table1[Rebate Unit],MATCH(Table1323[[#This Row],[Rebate Category]],Table1[BC Hydro Rebate Category],0))),"")</f>
        <v/>
      </c>
      <c r="N97" s="207"/>
      <c r="O97" s="207"/>
      <c r="P97" s="206"/>
      <c r="Q97" s="209">
        <f>IFERROR(Table1323[[#This Row],[Rebate per luminaire, ($)]]*Table1323[[#This Row],[Quantity of luminaires or lamps]],0)</f>
        <v>0</v>
      </c>
      <c r="R9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97" s="211" t="str">
        <f>IFERROR(IF(Table1323[[#This Row],[Quantity of luminaires or lamps]]="","",IF(Table1323[[#This Row],[Controls Rebate]]="",0,Table1323[[#This Row],[Controls Rebate]])+Table1323[[#This Row],[Lighting Rebate]]),"")</f>
        <v/>
      </c>
      <c r="T9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97" s="213">
        <f>IFERROR(Table1323[[#This Row],[Rebate kW Savings]]*Table1323[[#This Row],[Annual hours from space type]],0)</f>
        <v>0</v>
      </c>
      <c r="V9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97" s="213">
        <f>Table1323[[#This Row],[Rebate kWh savings]]+Table1323[[#This Row],[Controls Rebate kWh Savings]]</f>
        <v>0</v>
      </c>
      <c r="X97" s="214" t="str">
        <f>IFERROR(IF(Table1323[[#This Row],[Quantity of luminaires or lamps]]="","",Table1323[[#This Row],[Rebate kW Savings]]),0)</f>
        <v/>
      </c>
      <c r="Y97" s="215" t="str">
        <f>IFERROR(IF(Table1323[[#This Row],[Quantity of luminaires or lamps]]="","",Table1323[[#This Row],[Total Lighting Rebate Energy Savings]]),0)</f>
        <v/>
      </c>
      <c r="Z97" s="207"/>
      <c r="AA97" s="18" t="str">
        <f>IF(Table1323[[#This Row],[Selected for Implementation]]="Yes",IF(Table1323[[#This Row],[No]]="","",(CONCATENATE("Light_"&amp;Table1323[[#This Row],[Rebate Category]]&amp;Table1323[[#This Row],[LED lamp/luminaire retrofit part '#]]))),"")</f>
        <v/>
      </c>
      <c r="AB97" s="20" t="str" cm="1">
        <f t="array" ref="AB97">IFERROR(IF(Table1323[[#This Row],[Annual hours from space type]]&gt;=Table14[],Table1323[[#This Row],[Demand Savings, kW]],0),0)</f>
        <v/>
      </c>
      <c r="AC97" s="19" t="str">
        <f>IFERROR(INDEX(Table1[BC Hydro xRM ECM],MATCH(Table1323[[#This Row],[Rebate Category]],Table1[BC Hydro Rebate Category],0)),"")</f>
        <v/>
      </c>
      <c r="AD97" s="18">
        <f>IF(Table1323[[#This Row],[Selected for Implementation]]="Yes",1,0)</f>
        <v>0</v>
      </c>
      <c r="AE97" s="18" t="e">
        <f>Table1323[[#This Row],[Implement]]*Table1323[[#This Row],[Demand Savings, kW]]</f>
        <v>#VALUE!</v>
      </c>
      <c r="AF97" s="18" t="e">
        <f>Table1323[[#This Row],[Implement]]*Table1323[[#This Row],[BCH Peak kW]]</f>
        <v>#VALUE!</v>
      </c>
      <c r="AG97" s="18">
        <f>Table1323[[#This Row],[Implement]]*Table1323[[#This Row],[Rebate kWh savings]]</f>
        <v>0</v>
      </c>
      <c r="AH97" s="18">
        <f>Table1323[[#This Row],[Implement]]*Table1323[[#This Row],[Controls Rebate kWh Savings]]</f>
        <v>0</v>
      </c>
      <c r="AI97" s="233">
        <f>Table1323[[#This Row],[Implement]]*Table1323[[#This Row],[Controls Rebate]]</f>
        <v>0</v>
      </c>
      <c r="AJ97" s="569">
        <f>IF(Table1323[[#This Row],[iControls Incentives]]&gt;0,Table1323[[#This Row],[Number of  sensors]],0)</f>
        <v>0</v>
      </c>
      <c r="AK97" s="233">
        <f>Table1323[[#This Row],[Implement]]*Table1323[[#This Row],[Lighting Rebate]]</f>
        <v>0</v>
      </c>
    </row>
    <row r="98" spans="2:37" ht="32.15" customHeight="1" x14ac:dyDescent="0.3">
      <c r="B98" s="17" t="str">
        <f>IF(Table1323[[#This Row],[Space Type]]="","","L-"&amp;ROW(92:92))</f>
        <v/>
      </c>
      <c r="C98" s="206"/>
      <c r="D98" s="207"/>
      <c r="E98" s="207"/>
      <c r="F98" s="207"/>
      <c r="G98" s="208" t="str">
        <f>IFERROR(IF(Table1323[[#This Row],[No]]="","",IF(Table1323[[#This Row],[Space Type]]="","select Space Type",INDEX(Table5[Hours],MATCH(Table1323[[#This Row],[Space Type]],Table5[Space Type],0)))),"")</f>
        <v/>
      </c>
      <c r="H98" s="207"/>
      <c r="I98" s="207"/>
      <c r="J98" s="613" t="str">
        <f>IFERROR(INDEX(Table1[Integrated Controls Capable],MATCH(Table1323[[#This Row],[Rebate Category]],Table1[BC Hydro Rebate Category],0)),"")</f>
        <v/>
      </c>
      <c r="K98" s="207"/>
      <c r="L98" s="572" t="str" cm="1">
        <f t="array" ref="L98">IFERROR(INDEX(Table1[Rebate],MATCH(Table1323[[#This Row],[Rebate Category]],Table1[BC Hydro Rebate Category],0))+IF(AND(Table1323[[#This Row],[Integrated Controls Capable]],Table1323[[#This Row],[Fixture Integrated Occupancy/Daylight Harvesting Sensors?]]="Yes"),Table6[],0),"")</f>
        <v/>
      </c>
      <c r="M98" s="574" t="str">
        <f>IFERROR(IF(AND(Table1323[[#This Row],[Integrated Controls Capable]],Table1323[[#This Row],[Fixture Integrated Occupancy/Daylight Harvesting Sensors?]]="Yes"),"per integrated luminaire", INDEX(Table1[Rebate Unit],MATCH(Table1323[[#This Row],[Rebate Category]],Table1[BC Hydro Rebate Category],0))),"")</f>
        <v/>
      </c>
      <c r="N98" s="207"/>
      <c r="O98" s="207"/>
      <c r="P98" s="206"/>
      <c r="Q98" s="209">
        <f>IFERROR(Table1323[[#This Row],[Rebate per luminaire, ($)]]*Table1323[[#This Row],[Quantity of luminaires or lamps]],0)</f>
        <v>0</v>
      </c>
      <c r="R9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98" s="211" t="str">
        <f>IFERROR(IF(Table1323[[#This Row],[Quantity of luminaires or lamps]]="","",IF(Table1323[[#This Row],[Controls Rebate]]="",0,Table1323[[#This Row],[Controls Rebate]])+Table1323[[#This Row],[Lighting Rebate]]),"")</f>
        <v/>
      </c>
      <c r="T9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98" s="213">
        <f>IFERROR(Table1323[[#This Row],[Rebate kW Savings]]*Table1323[[#This Row],[Annual hours from space type]],0)</f>
        <v>0</v>
      </c>
      <c r="V9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98" s="213">
        <f>Table1323[[#This Row],[Rebate kWh savings]]+Table1323[[#This Row],[Controls Rebate kWh Savings]]</f>
        <v>0</v>
      </c>
      <c r="X98" s="214" t="str">
        <f>IFERROR(IF(Table1323[[#This Row],[Quantity of luminaires or lamps]]="","",Table1323[[#This Row],[Rebate kW Savings]]),0)</f>
        <v/>
      </c>
      <c r="Y98" s="215" t="str">
        <f>IFERROR(IF(Table1323[[#This Row],[Quantity of luminaires or lamps]]="","",Table1323[[#This Row],[Total Lighting Rebate Energy Savings]]),0)</f>
        <v/>
      </c>
      <c r="Z98" s="207"/>
      <c r="AA98" s="18" t="str">
        <f>IF(Table1323[[#This Row],[Selected for Implementation]]="Yes",IF(Table1323[[#This Row],[No]]="","",(CONCATENATE("Light_"&amp;Table1323[[#This Row],[Rebate Category]]&amp;Table1323[[#This Row],[LED lamp/luminaire retrofit part '#]]))),"")</f>
        <v/>
      </c>
      <c r="AB98" s="20" t="str" cm="1">
        <f t="array" ref="AB98">IFERROR(IF(Table1323[[#This Row],[Annual hours from space type]]&gt;=Table14[],Table1323[[#This Row],[Demand Savings, kW]],0),0)</f>
        <v/>
      </c>
      <c r="AC98" s="19" t="str">
        <f>IFERROR(INDEX(Table1[BC Hydro xRM ECM],MATCH(Table1323[[#This Row],[Rebate Category]],Table1[BC Hydro Rebate Category],0)),"")</f>
        <v/>
      </c>
      <c r="AD98" s="18">
        <f>IF(Table1323[[#This Row],[Selected for Implementation]]="Yes",1,0)</f>
        <v>0</v>
      </c>
      <c r="AE98" s="18" t="e">
        <f>Table1323[[#This Row],[Implement]]*Table1323[[#This Row],[Demand Savings, kW]]</f>
        <v>#VALUE!</v>
      </c>
      <c r="AF98" s="18" t="e">
        <f>Table1323[[#This Row],[Implement]]*Table1323[[#This Row],[BCH Peak kW]]</f>
        <v>#VALUE!</v>
      </c>
      <c r="AG98" s="18">
        <f>Table1323[[#This Row],[Implement]]*Table1323[[#This Row],[Rebate kWh savings]]</f>
        <v>0</v>
      </c>
      <c r="AH98" s="18">
        <f>Table1323[[#This Row],[Implement]]*Table1323[[#This Row],[Controls Rebate kWh Savings]]</f>
        <v>0</v>
      </c>
      <c r="AI98" s="233">
        <f>Table1323[[#This Row],[Implement]]*Table1323[[#This Row],[Controls Rebate]]</f>
        <v>0</v>
      </c>
      <c r="AJ98" s="569">
        <f>IF(Table1323[[#This Row],[iControls Incentives]]&gt;0,Table1323[[#This Row],[Number of  sensors]],0)</f>
        <v>0</v>
      </c>
      <c r="AK98" s="233">
        <f>Table1323[[#This Row],[Implement]]*Table1323[[#This Row],[Lighting Rebate]]</f>
        <v>0</v>
      </c>
    </row>
    <row r="99" spans="2:37" ht="32.15" customHeight="1" x14ac:dyDescent="0.3">
      <c r="B99" s="17" t="str">
        <f>IF(Table1323[[#This Row],[Space Type]]="","","L-"&amp;ROW(93:93))</f>
        <v/>
      </c>
      <c r="C99" s="206"/>
      <c r="D99" s="207"/>
      <c r="E99" s="207"/>
      <c r="F99" s="207"/>
      <c r="G99" s="208" t="str">
        <f>IFERROR(IF(Table1323[[#This Row],[No]]="","",IF(Table1323[[#This Row],[Space Type]]="","select Space Type",INDEX(Table5[Hours],MATCH(Table1323[[#This Row],[Space Type]],Table5[Space Type],0)))),"")</f>
        <v/>
      </c>
      <c r="H99" s="207"/>
      <c r="I99" s="207"/>
      <c r="J99" s="613" t="str">
        <f>IFERROR(INDEX(Table1[Integrated Controls Capable],MATCH(Table1323[[#This Row],[Rebate Category]],Table1[BC Hydro Rebate Category],0)),"")</f>
        <v/>
      </c>
      <c r="K99" s="207"/>
      <c r="L99" s="572" t="str" cm="1">
        <f t="array" ref="L99">IFERROR(INDEX(Table1[Rebate],MATCH(Table1323[[#This Row],[Rebate Category]],Table1[BC Hydro Rebate Category],0))+IF(AND(Table1323[[#This Row],[Integrated Controls Capable]],Table1323[[#This Row],[Fixture Integrated Occupancy/Daylight Harvesting Sensors?]]="Yes"),Table6[],0),"")</f>
        <v/>
      </c>
      <c r="M99" s="574" t="str">
        <f>IFERROR(IF(AND(Table1323[[#This Row],[Integrated Controls Capable]],Table1323[[#This Row],[Fixture Integrated Occupancy/Daylight Harvesting Sensors?]]="Yes"),"per integrated luminaire", INDEX(Table1[Rebate Unit],MATCH(Table1323[[#This Row],[Rebate Category]],Table1[BC Hydro Rebate Category],0))),"")</f>
        <v/>
      </c>
      <c r="N99" s="207"/>
      <c r="O99" s="207"/>
      <c r="P99" s="206"/>
      <c r="Q99" s="209">
        <f>IFERROR(Table1323[[#This Row],[Rebate per luminaire, ($)]]*Table1323[[#This Row],[Quantity of luminaires or lamps]],0)</f>
        <v>0</v>
      </c>
      <c r="R9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99" s="211" t="str">
        <f>IFERROR(IF(Table1323[[#This Row],[Quantity of luminaires or lamps]]="","",IF(Table1323[[#This Row],[Controls Rebate]]="",0,Table1323[[#This Row],[Controls Rebate]])+Table1323[[#This Row],[Lighting Rebate]]),"")</f>
        <v/>
      </c>
      <c r="T9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99" s="213">
        <f>IFERROR(Table1323[[#This Row],[Rebate kW Savings]]*Table1323[[#This Row],[Annual hours from space type]],0)</f>
        <v>0</v>
      </c>
      <c r="V9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99" s="213">
        <f>Table1323[[#This Row],[Rebate kWh savings]]+Table1323[[#This Row],[Controls Rebate kWh Savings]]</f>
        <v>0</v>
      </c>
      <c r="X99" s="214" t="str">
        <f>IFERROR(IF(Table1323[[#This Row],[Quantity of luminaires or lamps]]="","",Table1323[[#This Row],[Rebate kW Savings]]),0)</f>
        <v/>
      </c>
      <c r="Y99" s="215" t="str">
        <f>IFERROR(IF(Table1323[[#This Row],[Quantity of luminaires or lamps]]="","",Table1323[[#This Row],[Total Lighting Rebate Energy Savings]]),0)</f>
        <v/>
      </c>
      <c r="Z99" s="207"/>
      <c r="AA99" s="18" t="str">
        <f>IF(Table1323[[#This Row],[Selected for Implementation]]="Yes",IF(Table1323[[#This Row],[No]]="","",(CONCATENATE("Light_"&amp;Table1323[[#This Row],[Rebate Category]]&amp;Table1323[[#This Row],[LED lamp/luminaire retrofit part '#]]))),"")</f>
        <v/>
      </c>
      <c r="AB99" s="20" t="str" cm="1">
        <f t="array" ref="AB99">IFERROR(IF(Table1323[[#This Row],[Annual hours from space type]]&gt;=Table14[],Table1323[[#This Row],[Demand Savings, kW]],0),0)</f>
        <v/>
      </c>
      <c r="AC99" s="19" t="str">
        <f>IFERROR(INDEX(Table1[BC Hydro xRM ECM],MATCH(Table1323[[#This Row],[Rebate Category]],Table1[BC Hydro Rebate Category],0)),"")</f>
        <v/>
      </c>
      <c r="AD99" s="18">
        <f>IF(Table1323[[#This Row],[Selected for Implementation]]="Yes",1,0)</f>
        <v>0</v>
      </c>
      <c r="AE99" s="18" t="e">
        <f>Table1323[[#This Row],[Implement]]*Table1323[[#This Row],[Demand Savings, kW]]</f>
        <v>#VALUE!</v>
      </c>
      <c r="AF99" s="18" t="e">
        <f>Table1323[[#This Row],[Implement]]*Table1323[[#This Row],[BCH Peak kW]]</f>
        <v>#VALUE!</v>
      </c>
      <c r="AG99" s="18">
        <f>Table1323[[#This Row],[Implement]]*Table1323[[#This Row],[Rebate kWh savings]]</f>
        <v>0</v>
      </c>
      <c r="AH99" s="18">
        <f>Table1323[[#This Row],[Implement]]*Table1323[[#This Row],[Controls Rebate kWh Savings]]</f>
        <v>0</v>
      </c>
      <c r="AI99" s="233">
        <f>Table1323[[#This Row],[Implement]]*Table1323[[#This Row],[Controls Rebate]]</f>
        <v>0</v>
      </c>
      <c r="AJ99" s="569">
        <f>IF(Table1323[[#This Row],[iControls Incentives]]&gt;0,Table1323[[#This Row],[Number of  sensors]],0)</f>
        <v>0</v>
      </c>
      <c r="AK99" s="233">
        <f>Table1323[[#This Row],[Implement]]*Table1323[[#This Row],[Lighting Rebate]]</f>
        <v>0</v>
      </c>
    </row>
    <row r="100" spans="2:37" ht="32.15" customHeight="1" x14ac:dyDescent="0.3">
      <c r="B100" s="17" t="str">
        <f>IF(Table1323[[#This Row],[Space Type]]="","","L-"&amp;ROW(94:94))</f>
        <v/>
      </c>
      <c r="C100" s="206"/>
      <c r="D100" s="207"/>
      <c r="E100" s="207"/>
      <c r="F100" s="207"/>
      <c r="G100" s="208" t="str">
        <f>IFERROR(IF(Table1323[[#This Row],[No]]="","",IF(Table1323[[#This Row],[Space Type]]="","select Space Type",INDEX(Table5[Hours],MATCH(Table1323[[#This Row],[Space Type]],Table5[Space Type],0)))),"")</f>
        <v/>
      </c>
      <c r="H100" s="207"/>
      <c r="I100" s="207"/>
      <c r="J100" s="613" t="str">
        <f>IFERROR(INDEX(Table1[Integrated Controls Capable],MATCH(Table1323[[#This Row],[Rebate Category]],Table1[BC Hydro Rebate Category],0)),"")</f>
        <v/>
      </c>
      <c r="K100" s="207"/>
      <c r="L100" s="572" t="str" cm="1">
        <f t="array" ref="L100">IFERROR(INDEX(Table1[Rebate],MATCH(Table1323[[#This Row],[Rebate Category]],Table1[BC Hydro Rebate Category],0))+IF(AND(Table1323[[#This Row],[Integrated Controls Capable]],Table1323[[#This Row],[Fixture Integrated Occupancy/Daylight Harvesting Sensors?]]="Yes"),Table6[],0),"")</f>
        <v/>
      </c>
      <c r="M100" s="574" t="str">
        <f>IFERROR(IF(AND(Table1323[[#This Row],[Integrated Controls Capable]],Table1323[[#This Row],[Fixture Integrated Occupancy/Daylight Harvesting Sensors?]]="Yes"),"per integrated luminaire", INDEX(Table1[Rebate Unit],MATCH(Table1323[[#This Row],[Rebate Category]],Table1[BC Hydro Rebate Category],0))),"")</f>
        <v/>
      </c>
      <c r="N100" s="207"/>
      <c r="O100" s="207"/>
      <c r="P100" s="206"/>
      <c r="Q100" s="209">
        <f>IFERROR(Table1323[[#This Row],[Rebate per luminaire, ($)]]*Table1323[[#This Row],[Quantity of luminaires or lamps]],0)</f>
        <v>0</v>
      </c>
      <c r="R10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00" s="211" t="str">
        <f>IFERROR(IF(Table1323[[#This Row],[Quantity of luminaires or lamps]]="","",IF(Table1323[[#This Row],[Controls Rebate]]="",0,Table1323[[#This Row],[Controls Rebate]])+Table1323[[#This Row],[Lighting Rebate]]),"")</f>
        <v/>
      </c>
      <c r="T10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00" s="213">
        <f>IFERROR(Table1323[[#This Row],[Rebate kW Savings]]*Table1323[[#This Row],[Annual hours from space type]],0)</f>
        <v>0</v>
      </c>
      <c r="V10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00" s="213">
        <f>Table1323[[#This Row],[Rebate kWh savings]]+Table1323[[#This Row],[Controls Rebate kWh Savings]]</f>
        <v>0</v>
      </c>
      <c r="X100" s="214" t="str">
        <f>IFERROR(IF(Table1323[[#This Row],[Quantity of luminaires or lamps]]="","",Table1323[[#This Row],[Rebate kW Savings]]),0)</f>
        <v/>
      </c>
      <c r="Y100" s="215" t="str">
        <f>IFERROR(IF(Table1323[[#This Row],[Quantity of luminaires or lamps]]="","",Table1323[[#This Row],[Total Lighting Rebate Energy Savings]]),0)</f>
        <v/>
      </c>
      <c r="Z100" s="207"/>
      <c r="AA100" s="18" t="str">
        <f>IF(Table1323[[#This Row],[Selected for Implementation]]="Yes",IF(Table1323[[#This Row],[No]]="","",(CONCATENATE("Light_"&amp;Table1323[[#This Row],[Rebate Category]]&amp;Table1323[[#This Row],[LED lamp/luminaire retrofit part '#]]))),"")</f>
        <v/>
      </c>
      <c r="AB100" s="20" t="str" cm="1">
        <f t="array" ref="AB100">IFERROR(IF(Table1323[[#This Row],[Annual hours from space type]]&gt;=Table14[],Table1323[[#This Row],[Demand Savings, kW]],0),0)</f>
        <v/>
      </c>
      <c r="AC100" s="19" t="str">
        <f>IFERROR(INDEX(Table1[BC Hydro xRM ECM],MATCH(Table1323[[#This Row],[Rebate Category]],Table1[BC Hydro Rebate Category],0)),"")</f>
        <v/>
      </c>
      <c r="AD100" s="18">
        <f>IF(Table1323[[#This Row],[Selected for Implementation]]="Yes",1,0)</f>
        <v>0</v>
      </c>
      <c r="AE100" s="18" t="e">
        <f>Table1323[[#This Row],[Implement]]*Table1323[[#This Row],[Demand Savings, kW]]</f>
        <v>#VALUE!</v>
      </c>
      <c r="AF100" s="18" t="e">
        <f>Table1323[[#This Row],[Implement]]*Table1323[[#This Row],[BCH Peak kW]]</f>
        <v>#VALUE!</v>
      </c>
      <c r="AG100" s="18">
        <f>Table1323[[#This Row],[Implement]]*Table1323[[#This Row],[Rebate kWh savings]]</f>
        <v>0</v>
      </c>
      <c r="AH100" s="18">
        <f>Table1323[[#This Row],[Implement]]*Table1323[[#This Row],[Controls Rebate kWh Savings]]</f>
        <v>0</v>
      </c>
      <c r="AI100" s="233">
        <f>Table1323[[#This Row],[Implement]]*Table1323[[#This Row],[Controls Rebate]]</f>
        <v>0</v>
      </c>
      <c r="AJ100" s="569">
        <f>IF(Table1323[[#This Row],[iControls Incentives]]&gt;0,Table1323[[#This Row],[Number of  sensors]],0)</f>
        <v>0</v>
      </c>
      <c r="AK100" s="233">
        <f>Table1323[[#This Row],[Implement]]*Table1323[[#This Row],[Lighting Rebate]]</f>
        <v>0</v>
      </c>
    </row>
    <row r="101" spans="2:37" ht="32.15" customHeight="1" x14ac:dyDescent="0.3">
      <c r="B101" s="17" t="str">
        <f>IF(Table1323[[#This Row],[Space Type]]="","","L-"&amp;ROW(95:95))</f>
        <v/>
      </c>
      <c r="C101" s="206"/>
      <c r="D101" s="207"/>
      <c r="E101" s="207"/>
      <c r="F101" s="207"/>
      <c r="G101" s="208" t="str">
        <f>IFERROR(IF(Table1323[[#This Row],[No]]="","",IF(Table1323[[#This Row],[Space Type]]="","select Space Type",INDEX(Table5[Hours],MATCH(Table1323[[#This Row],[Space Type]],Table5[Space Type],0)))),"")</f>
        <v/>
      </c>
      <c r="H101" s="207"/>
      <c r="I101" s="207"/>
      <c r="J101" s="613" t="str">
        <f>IFERROR(INDEX(Table1[Integrated Controls Capable],MATCH(Table1323[[#This Row],[Rebate Category]],Table1[BC Hydro Rebate Category],0)),"")</f>
        <v/>
      </c>
      <c r="K101" s="207"/>
      <c r="L101" s="572" t="str" cm="1">
        <f t="array" ref="L101">IFERROR(INDEX(Table1[Rebate],MATCH(Table1323[[#This Row],[Rebate Category]],Table1[BC Hydro Rebate Category],0))+IF(AND(Table1323[[#This Row],[Integrated Controls Capable]],Table1323[[#This Row],[Fixture Integrated Occupancy/Daylight Harvesting Sensors?]]="Yes"),Table6[],0),"")</f>
        <v/>
      </c>
      <c r="M101" s="574" t="str">
        <f>IFERROR(IF(AND(Table1323[[#This Row],[Integrated Controls Capable]],Table1323[[#This Row],[Fixture Integrated Occupancy/Daylight Harvesting Sensors?]]="Yes"),"per integrated luminaire", INDEX(Table1[Rebate Unit],MATCH(Table1323[[#This Row],[Rebate Category]],Table1[BC Hydro Rebate Category],0))),"")</f>
        <v/>
      </c>
      <c r="N101" s="207"/>
      <c r="O101" s="207"/>
      <c r="P101" s="206"/>
      <c r="Q101" s="209">
        <f>IFERROR(Table1323[[#This Row],[Rebate per luminaire, ($)]]*Table1323[[#This Row],[Quantity of luminaires or lamps]],0)</f>
        <v>0</v>
      </c>
      <c r="R10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01" s="211" t="str">
        <f>IFERROR(IF(Table1323[[#This Row],[Quantity of luminaires or lamps]]="","",IF(Table1323[[#This Row],[Controls Rebate]]="",0,Table1323[[#This Row],[Controls Rebate]])+Table1323[[#This Row],[Lighting Rebate]]),"")</f>
        <v/>
      </c>
      <c r="T10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01" s="213">
        <f>IFERROR(Table1323[[#This Row],[Rebate kW Savings]]*Table1323[[#This Row],[Annual hours from space type]],0)</f>
        <v>0</v>
      </c>
      <c r="V10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01" s="213">
        <f>Table1323[[#This Row],[Rebate kWh savings]]+Table1323[[#This Row],[Controls Rebate kWh Savings]]</f>
        <v>0</v>
      </c>
      <c r="X101" s="214" t="str">
        <f>IFERROR(IF(Table1323[[#This Row],[Quantity of luminaires or lamps]]="","",Table1323[[#This Row],[Rebate kW Savings]]),0)</f>
        <v/>
      </c>
      <c r="Y101" s="215" t="str">
        <f>IFERROR(IF(Table1323[[#This Row],[Quantity of luminaires or lamps]]="","",Table1323[[#This Row],[Total Lighting Rebate Energy Savings]]),0)</f>
        <v/>
      </c>
      <c r="Z101" s="207"/>
      <c r="AA101" s="18" t="str">
        <f>IF(Table1323[[#This Row],[Selected for Implementation]]="Yes",IF(Table1323[[#This Row],[No]]="","",(CONCATENATE("Light_"&amp;Table1323[[#This Row],[Rebate Category]]&amp;Table1323[[#This Row],[LED lamp/luminaire retrofit part '#]]))),"")</f>
        <v/>
      </c>
      <c r="AB101" s="20" t="str" cm="1">
        <f t="array" ref="AB101">IFERROR(IF(Table1323[[#This Row],[Annual hours from space type]]&gt;=Table14[],Table1323[[#This Row],[Demand Savings, kW]],0),0)</f>
        <v/>
      </c>
      <c r="AC101" s="19" t="str">
        <f>IFERROR(INDEX(Table1[BC Hydro xRM ECM],MATCH(Table1323[[#This Row],[Rebate Category]],Table1[BC Hydro Rebate Category],0)),"")</f>
        <v/>
      </c>
      <c r="AD101" s="18">
        <f>IF(Table1323[[#This Row],[Selected for Implementation]]="Yes",1,0)</f>
        <v>0</v>
      </c>
      <c r="AE101" s="18" t="e">
        <f>Table1323[[#This Row],[Implement]]*Table1323[[#This Row],[Demand Savings, kW]]</f>
        <v>#VALUE!</v>
      </c>
      <c r="AF101" s="18" t="e">
        <f>Table1323[[#This Row],[Implement]]*Table1323[[#This Row],[BCH Peak kW]]</f>
        <v>#VALUE!</v>
      </c>
      <c r="AG101" s="18">
        <f>Table1323[[#This Row],[Implement]]*Table1323[[#This Row],[Rebate kWh savings]]</f>
        <v>0</v>
      </c>
      <c r="AH101" s="18">
        <f>Table1323[[#This Row],[Implement]]*Table1323[[#This Row],[Controls Rebate kWh Savings]]</f>
        <v>0</v>
      </c>
      <c r="AI101" s="233">
        <f>Table1323[[#This Row],[Implement]]*Table1323[[#This Row],[Controls Rebate]]</f>
        <v>0</v>
      </c>
      <c r="AJ101" s="569">
        <f>IF(Table1323[[#This Row],[iControls Incentives]]&gt;0,Table1323[[#This Row],[Number of  sensors]],0)</f>
        <v>0</v>
      </c>
      <c r="AK101" s="233">
        <f>Table1323[[#This Row],[Implement]]*Table1323[[#This Row],[Lighting Rebate]]</f>
        <v>0</v>
      </c>
    </row>
    <row r="102" spans="2:37" ht="32.15" customHeight="1" x14ac:dyDescent="0.3">
      <c r="B102" s="17" t="str">
        <f>IF(Table1323[[#This Row],[Space Type]]="","","L-"&amp;ROW(96:96))</f>
        <v/>
      </c>
      <c r="C102" s="206"/>
      <c r="D102" s="207"/>
      <c r="E102" s="207"/>
      <c r="F102" s="207"/>
      <c r="G102" s="208" t="str">
        <f>IFERROR(IF(Table1323[[#This Row],[No]]="","",IF(Table1323[[#This Row],[Space Type]]="","select Space Type",INDEX(Table5[Hours],MATCH(Table1323[[#This Row],[Space Type]],Table5[Space Type],0)))),"")</f>
        <v/>
      </c>
      <c r="H102" s="207"/>
      <c r="I102" s="207"/>
      <c r="J102" s="613" t="str">
        <f>IFERROR(INDEX(Table1[Integrated Controls Capable],MATCH(Table1323[[#This Row],[Rebate Category]],Table1[BC Hydro Rebate Category],0)),"")</f>
        <v/>
      </c>
      <c r="K102" s="207"/>
      <c r="L102" s="572" t="str" cm="1">
        <f t="array" ref="L102">IFERROR(INDEX(Table1[Rebate],MATCH(Table1323[[#This Row],[Rebate Category]],Table1[BC Hydro Rebate Category],0))+IF(AND(Table1323[[#This Row],[Integrated Controls Capable]],Table1323[[#This Row],[Fixture Integrated Occupancy/Daylight Harvesting Sensors?]]="Yes"),Table6[],0),"")</f>
        <v/>
      </c>
      <c r="M102" s="574" t="str">
        <f>IFERROR(IF(AND(Table1323[[#This Row],[Integrated Controls Capable]],Table1323[[#This Row],[Fixture Integrated Occupancy/Daylight Harvesting Sensors?]]="Yes"),"per integrated luminaire", INDEX(Table1[Rebate Unit],MATCH(Table1323[[#This Row],[Rebate Category]],Table1[BC Hydro Rebate Category],0))),"")</f>
        <v/>
      </c>
      <c r="N102" s="207"/>
      <c r="O102" s="207"/>
      <c r="P102" s="206"/>
      <c r="Q102" s="209">
        <f>IFERROR(Table1323[[#This Row],[Rebate per luminaire, ($)]]*Table1323[[#This Row],[Quantity of luminaires or lamps]],0)</f>
        <v>0</v>
      </c>
      <c r="R10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02" s="211" t="str">
        <f>IFERROR(IF(Table1323[[#This Row],[Quantity of luminaires or lamps]]="","",IF(Table1323[[#This Row],[Controls Rebate]]="",0,Table1323[[#This Row],[Controls Rebate]])+Table1323[[#This Row],[Lighting Rebate]]),"")</f>
        <v/>
      </c>
      <c r="T10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02" s="213">
        <f>IFERROR(Table1323[[#This Row],[Rebate kW Savings]]*Table1323[[#This Row],[Annual hours from space type]],0)</f>
        <v>0</v>
      </c>
      <c r="V10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02" s="213">
        <f>Table1323[[#This Row],[Rebate kWh savings]]+Table1323[[#This Row],[Controls Rebate kWh Savings]]</f>
        <v>0</v>
      </c>
      <c r="X102" s="214" t="str">
        <f>IFERROR(IF(Table1323[[#This Row],[Quantity of luminaires or lamps]]="","",Table1323[[#This Row],[Rebate kW Savings]]),0)</f>
        <v/>
      </c>
      <c r="Y102" s="215" t="str">
        <f>IFERROR(IF(Table1323[[#This Row],[Quantity of luminaires or lamps]]="","",Table1323[[#This Row],[Total Lighting Rebate Energy Savings]]),0)</f>
        <v/>
      </c>
      <c r="Z102" s="207"/>
      <c r="AA102" s="18" t="str">
        <f>IF(Table1323[[#This Row],[Selected for Implementation]]="Yes",IF(Table1323[[#This Row],[No]]="","",(CONCATENATE("Light_"&amp;Table1323[[#This Row],[Rebate Category]]&amp;Table1323[[#This Row],[LED lamp/luminaire retrofit part '#]]))),"")</f>
        <v/>
      </c>
      <c r="AB102" s="20" t="str" cm="1">
        <f t="array" ref="AB102">IFERROR(IF(Table1323[[#This Row],[Annual hours from space type]]&gt;=Table14[],Table1323[[#This Row],[Demand Savings, kW]],0),0)</f>
        <v/>
      </c>
      <c r="AC102" s="19" t="str">
        <f>IFERROR(INDEX(Table1[BC Hydro xRM ECM],MATCH(Table1323[[#This Row],[Rebate Category]],Table1[BC Hydro Rebate Category],0)),"")</f>
        <v/>
      </c>
      <c r="AD102" s="18">
        <f>IF(Table1323[[#This Row],[Selected for Implementation]]="Yes",1,0)</f>
        <v>0</v>
      </c>
      <c r="AE102" s="18" t="e">
        <f>Table1323[[#This Row],[Implement]]*Table1323[[#This Row],[Demand Savings, kW]]</f>
        <v>#VALUE!</v>
      </c>
      <c r="AF102" s="18" t="e">
        <f>Table1323[[#This Row],[Implement]]*Table1323[[#This Row],[BCH Peak kW]]</f>
        <v>#VALUE!</v>
      </c>
      <c r="AG102" s="18">
        <f>Table1323[[#This Row],[Implement]]*Table1323[[#This Row],[Rebate kWh savings]]</f>
        <v>0</v>
      </c>
      <c r="AH102" s="18">
        <f>Table1323[[#This Row],[Implement]]*Table1323[[#This Row],[Controls Rebate kWh Savings]]</f>
        <v>0</v>
      </c>
      <c r="AI102" s="233">
        <f>Table1323[[#This Row],[Implement]]*Table1323[[#This Row],[Controls Rebate]]</f>
        <v>0</v>
      </c>
      <c r="AJ102" s="569">
        <f>IF(Table1323[[#This Row],[iControls Incentives]]&gt;0,Table1323[[#This Row],[Number of  sensors]],0)</f>
        <v>0</v>
      </c>
      <c r="AK102" s="233">
        <f>Table1323[[#This Row],[Implement]]*Table1323[[#This Row],[Lighting Rebate]]</f>
        <v>0</v>
      </c>
    </row>
    <row r="103" spans="2:37" ht="32.15" customHeight="1" x14ac:dyDescent="0.3">
      <c r="B103" s="17" t="str">
        <f>IF(Table1323[[#This Row],[Space Type]]="","","L-"&amp;ROW(97:97))</f>
        <v/>
      </c>
      <c r="C103" s="206"/>
      <c r="D103" s="207"/>
      <c r="E103" s="207"/>
      <c r="F103" s="207"/>
      <c r="G103" s="208" t="str">
        <f>IFERROR(IF(Table1323[[#This Row],[No]]="","",IF(Table1323[[#This Row],[Space Type]]="","select Space Type",INDEX(Table5[Hours],MATCH(Table1323[[#This Row],[Space Type]],Table5[Space Type],0)))),"")</f>
        <v/>
      </c>
      <c r="H103" s="207"/>
      <c r="I103" s="207"/>
      <c r="J103" s="613" t="str">
        <f>IFERROR(INDEX(Table1[Integrated Controls Capable],MATCH(Table1323[[#This Row],[Rebate Category]],Table1[BC Hydro Rebate Category],0)),"")</f>
        <v/>
      </c>
      <c r="K103" s="207"/>
      <c r="L103" s="572" t="str" cm="1">
        <f t="array" ref="L103">IFERROR(INDEX(Table1[Rebate],MATCH(Table1323[[#This Row],[Rebate Category]],Table1[BC Hydro Rebate Category],0))+IF(AND(Table1323[[#This Row],[Integrated Controls Capable]],Table1323[[#This Row],[Fixture Integrated Occupancy/Daylight Harvesting Sensors?]]="Yes"),Table6[],0),"")</f>
        <v/>
      </c>
      <c r="M103" s="574" t="str">
        <f>IFERROR(IF(AND(Table1323[[#This Row],[Integrated Controls Capable]],Table1323[[#This Row],[Fixture Integrated Occupancy/Daylight Harvesting Sensors?]]="Yes"),"per integrated luminaire", INDEX(Table1[Rebate Unit],MATCH(Table1323[[#This Row],[Rebate Category]],Table1[BC Hydro Rebate Category],0))),"")</f>
        <v/>
      </c>
      <c r="N103" s="207"/>
      <c r="O103" s="207"/>
      <c r="P103" s="206"/>
      <c r="Q103" s="209">
        <f>IFERROR(Table1323[[#This Row],[Rebate per luminaire, ($)]]*Table1323[[#This Row],[Quantity of luminaires or lamps]],0)</f>
        <v>0</v>
      </c>
      <c r="R10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03" s="211" t="str">
        <f>IFERROR(IF(Table1323[[#This Row],[Quantity of luminaires or lamps]]="","",IF(Table1323[[#This Row],[Controls Rebate]]="",0,Table1323[[#This Row],[Controls Rebate]])+Table1323[[#This Row],[Lighting Rebate]]),"")</f>
        <v/>
      </c>
      <c r="T10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03" s="213">
        <f>IFERROR(Table1323[[#This Row],[Rebate kW Savings]]*Table1323[[#This Row],[Annual hours from space type]],0)</f>
        <v>0</v>
      </c>
      <c r="V10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03" s="213">
        <f>Table1323[[#This Row],[Rebate kWh savings]]+Table1323[[#This Row],[Controls Rebate kWh Savings]]</f>
        <v>0</v>
      </c>
      <c r="X103" s="214" t="str">
        <f>IFERROR(IF(Table1323[[#This Row],[Quantity of luminaires or lamps]]="","",Table1323[[#This Row],[Rebate kW Savings]]),0)</f>
        <v/>
      </c>
      <c r="Y103" s="215" t="str">
        <f>IFERROR(IF(Table1323[[#This Row],[Quantity of luminaires or lamps]]="","",Table1323[[#This Row],[Total Lighting Rebate Energy Savings]]),0)</f>
        <v/>
      </c>
      <c r="Z103" s="207"/>
      <c r="AA103" s="18" t="str">
        <f>IF(Table1323[[#This Row],[Selected for Implementation]]="Yes",IF(Table1323[[#This Row],[No]]="","",(CONCATENATE("Light_"&amp;Table1323[[#This Row],[Rebate Category]]&amp;Table1323[[#This Row],[LED lamp/luminaire retrofit part '#]]))),"")</f>
        <v/>
      </c>
      <c r="AB103" s="20" t="str" cm="1">
        <f t="array" ref="AB103">IFERROR(IF(Table1323[[#This Row],[Annual hours from space type]]&gt;=Table14[],Table1323[[#This Row],[Demand Savings, kW]],0),0)</f>
        <v/>
      </c>
      <c r="AC103" s="19" t="str">
        <f>IFERROR(INDEX(Table1[BC Hydro xRM ECM],MATCH(Table1323[[#This Row],[Rebate Category]],Table1[BC Hydro Rebate Category],0)),"")</f>
        <v/>
      </c>
      <c r="AD103" s="18">
        <f>IF(Table1323[[#This Row],[Selected for Implementation]]="Yes",1,0)</f>
        <v>0</v>
      </c>
      <c r="AE103" s="18" t="e">
        <f>Table1323[[#This Row],[Implement]]*Table1323[[#This Row],[Demand Savings, kW]]</f>
        <v>#VALUE!</v>
      </c>
      <c r="AF103" s="18" t="e">
        <f>Table1323[[#This Row],[Implement]]*Table1323[[#This Row],[BCH Peak kW]]</f>
        <v>#VALUE!</v>
      </c>
      <c r="AG103" s="18">
        <f>Table1323[[#This Row],[Implement]]*Table1323[[#This Row],[Rebate kWh savings]]</f>
        <v>0</v>
      </c>
      <c r="AH103" s="18">
        <f>Table1323[[#This Row],[Implement]]*Table1323[[#This Row],[Controls Rebate kWh Savings]]</f>
        <v>0</v>
      </c>
      <c r="AI103" s="233">
        <f>Table1323[[#This Row],[Implement]]*Table1323[[#This Row],[Controls Rebate]]</f>
        <v>0</v>
      </c>
      <c r="AJ103" s="569">
        <f>IF(Table1323[[#This Row],[iControls Incentives]]&gt;0,Table1323[[#This Row],[Number of  sensors]],0)</f>
        <v>0</v>
      </c>
      <c r="AK103" s="233">
        <f>Table1323[[#This Row],[Implement]]*Table1323[[#This Row],[Lighting Rebate]]</f>
        <v>0</v>
      </c>
    </row>
    <row r="104" spans="2:37" ht="32.15" customHeight="1" x14ac:dyDescent="0.3">
      <c r="B104" s="17" t="str">
        <f>IF(Table1323[[#This Row],[Space Type]]="","","L-"&amp;ROW(98:98))</f>
        <v/>
      </c>
      <c r="C104" s="206"/>
      <c r="D104" s="207"/>
      <c r="E104" s="207"/>
      <c r="F104" s="207"/>
      <c r="G104" s="208" t="str">
        <f>IFERROR(IF(Table1323[[#This Row],[No]]="","",IF(Table1323[[#This Row],[Space Type]]="","select Space Type",INDEX(Table5[Hours],MATCH(Table1323[[#This Row],[Space Type]],Table5[Space Type],0)))),"")</f>
        <v/>
      </c>
      <c r="H104" s="207"/>
      <c r="I104" s="207"/>
      <c r="J104" s="613" t="str">
        <f>IFERROR(INDEX(Table1[Integrated Controls Capable],MATCH(Table1323[[#This Row],[Rebate Category]],Table1[BC Hydro Rebate Category],0)),"")</f>
        <v/>
      </c>
      <c r="K104" s="207"/>
      <c r="L104" s="572" t="str" cm="1">
        <f t="array" ref="L104">IFERROR(INDEX(Table1[Rebate],MATCH(Table1323[[#This Row],[Rebate Category]],Table1[BC Hydro Rebate Category],0))+IF(AND(Table1323[[#This Row],[Integrated Controls Capable]],Table1323[[#This Row],[Fixture Integrated Occupancy/Daylight Harvesting Sensors?]]="Yes"),Table6[],0),"")</f>
        <v/>
      </c>
      <c r="M104" s="574" t="str">
        <f>IFERROR(IF(AND(Table1323[[#This Row],[Integrated Controls Capable]],Table1323[[#This Row],[Fixture Integrated Occupancy/Daylight Harvesting Sensors?]]="Yes"),"per integrated luminaire", INDEX(Table1[Rebate Unit],MATCH(Table1323[[#This Row],[Rebate Category]],Table1[BC Hydro Rebate Category],0))),"")</f>
        <v/>
      </c>
      <c r="N104" s="207"/>
      <c r="O104" s="207"/>
      <c r="P104" s="206"/>
      <c r="Q104" s="209">
        <f>IFERROR(Table1323[[#This Row],[Rebate per luminaire, ($)]]*Table1323[[#This Row],[Quantity of luminaires or lamps]],0)</f>
        <v>0</v>
      </c>
      <c r="R10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04" s="211" t="str">
        <f>IFERROR(IF(Table1323[[#This Row],[Quantity of luminaires or lamps]]="","",IF(Table1323[[#This Row],[Controls Rebate]]="",0,Table1323[[#This Row],[Controls Rebate]])+Table1323[[#This Row],[Lighting Rebate]]),"")</f>
        <v/>
      </c>
      <c r="T10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04" s="213">
        <f>IFERROR(Table1323[[#This Row],[Rebate kW Savings]]*Table1323[[#This Row],[Annual hours from space type]],0)</f>
        <v>0</v>
      </c>
      <c r="V10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04" s="213">
        <f>Table1323[[#This Row],[Rebate kWh savings]]+Table1323[[#This Row],[Controls Rebate kWh Savings]]</f>
        <v>0</v>
      </c>
      <c r="X104" s="214" t="str">
        <f>IFERROR(IF(Table1323[[#This Row],[Quantity of luminaires or lamps]]="","",Table1323[[#This Row],[Rebate kW Savings]]),0)</f>
        <v/>
      </c>
      <c r="Y104" s="215" t="str">
        <f>IFERROR(IF(Table1323[[#This Row],[Quantity of luminaires or lamps]]="","",Table1323[[#This Row],[Total Lighting Rebate Energy Savings]]),0)</f>
        <v/>
      </c>
      <c r="Z104" s="207"/>
      <c r="AA104" s="18" t="str">
        <f>IF(Table1323[[#This Row],[Selected for Implementation]]="Yes",IF(Table1323[[#This Row],[No]]="","",(CONCATENATE("Light_"&amp;Table1323[[#This Row],[Rebate Category]]&amp;Table1323[[#This Row],[LED lamp/luminaire retrofit part '#]]))),"")</f>
        <v/>
      </c>
      <c r="AB104" s="20" t="str" cm="1">
        <f t="array" ref="AB104">IFERROR(IF(Table1323[[#This Row],[Annual hours from space type]]&gt;=Table14[],Table1323[[#This Row],[Demand Savings, kW]],0),0)</f>
        <v/>
      </c>
      <c r="AC104" s="19" t="str">
        <f>IFERROR(INDEX(Table1[BC Hydro xRM ECM],MATCH(Table1323[[#This Row],[Rebate Category]],Table1[BC Hydro Rebate Category],0)),"")</f>
        <v/>
      </c>
      <c r="AD104" s="18">
        <f>IF(Table1323[[#This Row],[Selected for Implementation]]="Yes",1,0)</f>
        <v>0</v>
      </c>
      <c r="AE104" s="18" t="e">
        <f>Table1323[[#This Row],[Implement]]*Table1323[[#This Row],[Demand Savings, kW]]</f>
        <v>#VALUE!</v>
      </c>
      <c r="AF104" s="18" t="e">
        <f>Table1323[[#This Row],[Implement]]*Table1323[[#This Row],[BCH Peak kW]]</f>
        <v>#VALUE!</v>
      </c>
      <c r="AG104" s="18">
        <f>Table1323[[#This Row],[Implement]]*Table1323[[#This Row],[Rebate kWh savings]]</f>
        <v>0</v>
      </c>
      <c r="AH104" s="18">
        <f>Table1323[[#This Row],[Implement]]*Table1323[[#This Row],[Controls Rebate kWh Savings]]</f>
        <v>0</v>
      </c>
      <c r="AI104" s="233">
        <f>Table1323[[#This Row],[Implement]]*Table1323[[#This Row],[Controls Rebate]]</f>
        <v>0</v>
      </c>
      <c r="AJ104" s="569">
        <f>IF(Table1323[[#This Row],[iControls Incentives]]&gt;0,Table1323[[#This Row],[Number of  sensors]],0)</f>
        <v>0</v>
      </c>
      <c r="AK104" s="233">
        <f>Table1323[[#This Row],[Implement]]*Table1323[[#This Row],[Lighting Rebate]]</f>
        <v>0</v>
      </c>
    </row>
    <row r="105" spans="2:37" ht="32.15" customHeight="1" x14ac:dyDescent="0.3">
      <c r="B105" s="17" t="str">
        <f>IF(Table1323[[#This Row],[Space Type]]="","","L-"&amp;ROW(99:99))</f>
        <v/>
      </c>
      <c r="C105" s="206"/>
      <c r="D105" s="207"/>
      <c r="E105" s="207"/>
      <c r="F105" s="207"/>
      <c r="G105" s="208" t="str">
        <f>IFERROR(IF(Table1323[[#This Row],[No]]="","",IF(Table1323[[#This Row],[Space Type]]="","select Space Type",INDEX(Table5[Hours],MATCH(Table1323[[#This Row],[Space Type]],Table5[Space Type],0)))),"")</f>
        <v/>
      </c>
      <c r="H105" s="207"/>
      <c r="I105" s="207"/>
      <c r="J105" s="613" t="str">
        <f>IFERROR(INDEX(Table1[Integrated Controls Capable],MATCH(Table1323[[#This Row],[Rebate Category]],Table1[BC Hydro Rebate Category],0)),"")</f>
        <v/>
      </c>
      <c r="K105" s="207"/>
      <c r="L105" s="572" t="str" cm="1">
        <f t="array" ref="L105">IFERROR(INDEX(Table1[Rebate],MATCH(Table1323[[#This Row],[Rebate Category]],Table1[BC Hydro Rebate Category],0))+IF(AND(Table1323[[#This Row],[Integrated Controls Capable]],Table1323[[#This Row],[Fixture Integrated Occupancy/Daylight Harvesting Sensors?]]="Yes"),Table6[],0),"")</f>
        <v/>
      </c>
      <c r="M105" s="574" t="str">
        <f>IFERROR(IF(AND(Table1323[[#This Row],[Integrated Controls Capable]],Table1323[[#This Row],[Fixture Integrated Occupancy/Daylight Harvesting Sensors?]]="Yes"),"per integrated luminaire", INDEX(Table1[Rebate Unit],MATCH(Table1323[[#This Row],[Rebate Category]],Table1[BC Hydro Rebate Category],0))),"")</f>
        <v/>
      </c>
      <c r="N105" s="207"/>
      <c r="O105" s="207"/>
      <c r="P105" s="206"/>
      <c r="Q105" s="209">
        <f>IFERROR(Table1323[[#This Row],[Rebate per luminaire, ($)]]*Table1323[[#This Row],[Quantity of luminaires or lamps]],0)</f>
        <v>0</v>
      </c>
      <c r="R10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05" s="211" t="str">
        <f>IFERROR(IF(Table1323[[#This Row],[Quantity of luminaires or lamps]]="","",IF(Table1323[[#This Row],[Controls Rebate]]="",0,Table1323[[#This Row],[Controls Rebate]])+Table1323[[#This Row],[Lighting Rebate]]),"")</f>
        <v/>
      </c>
      <c r="T10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05" s="213">
        <f>IFERROR(Table1323[[#This Row],[Rebate kW Savings]]*Table1323[[#This Row],[Annual hours from space type]],0)</f>
        <v>0</v>
      </c>
      <c r="V10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05" s="213">
        <f>Table1323[[#This Row],[Rebate kWh savings]]+Table1323[[#This Row],[Controls Rebate kWh Savings]]</f>
        <v>0</v>
      </c>
      <c r="X105" s="214" t="str">
        <f>IFERROR(IF(Table1323[[#This Row],[Quantity of luminaires or lamps]]="","",Table1323[[#This Row],[Rebate kW Savings]]),0)</f>
        <v/>
      </c>
      <c r="Y105" s="215" t="str">
        <f>IFERROR(IF(Table1323[[#This Row],[Quantity of luminaires or lamps]]="","",Table1323[[#This Row],[Total Lighting Rebate Energy Savings]]),0)</f>
        <v/>
      </c>
      <c r="Z105" s="207"/>
      <c r="AA105" s="18" t="str">
        <f>IF(Table1323[[#This Row],[Selected for Implementation]]="Yes",IF(Table1323[[#This Row],[No]]="","",(CONCATENATE("Light_"&amp;Table1323[[#This Row],[Rebate Category]]&amp;Table1323[[#This Row],[LED lamp/luminaire retrofit part '#]]))),"")</f>
        <v/>
      </c>
      <c r="AB105" s="20" t="str" cm="1">
        <f t="array" ref="AB105">IFERROR(IF(Table1323[[#This Row],[Annual hours from space type]]&gt;=Table14[],Table1323[[#This Row],[Demand Savings, kW]],0),0)</f>
        <v/>
      </c>
      <c r="AC105" s="19" t="str">
        <f>IFERROR(INDEX(Table1[BC Hydro xRM ECM],MATCH(Table1323[[#This Row],[Rebate Category]],Table1[BC Hydro Rebate Category],0)),"")</f>
        <v/>
      </c>
      <c r="AD105" s="18">
        <f>IF(Table1323[[#This Row],[Selected for Implementation]]="Yes",1,0)</f>
        <v>0</v>
      </c>
      <c r="AE105" s="18" t="e">
        <f>Table1323[[#This Row],[Implement]]*Table1323[[#This Row],[Demand Savings, kW]]</f>
        <v>#VALUE!</v>
      </c>
      <c r="AF105" s="18" t="e">
        <f>Table1323[[#This Row],[Implement]]*Table1323[[#This Row],[BCH Peak kW]]</f>
        <v>#VALUE!</v>
      </c>
      <c r="AG105" s="18">
        <f>Table1323[[#This Row],[Implement]]*Table1323[[#This Row],[Rebate kWh savings]]</f>
        <v>0</v>
      </c>
      <c r="AH105" s="18">
        <f>Table1323[[#This Row],[Implement]]*Table1323[[#This Row],[Controls Rebate kWh Savings]]</f>
        <v>0</v>
      </c>
      <c r="AI105" s="233">
        <f>Table1323[[#This Row],[Implement]]*Table1323[[#This Row],[Controls Rebate]]</f>
        <v>0</v>
      </c>
      <c r="AJ105" s="569">
        <f>IF(Table1323[[#This Row],[iControls Incentives]]&gt;0,Table1323[[#This Row],[Number of  sensors]],0)</f>
        <v>0</v>
      </c>
      <c r="AK105" s="233">
        <f>Table1323[[#This Row],[Implement]]*Table1323[[#This Row],[Lighting Rebate]]</f>
        <v>0</v>
      </c>
    </row>
    <row r="106" spans="2:37" ht="32.15" customHeight="1" x14ac:dyDescent="0.3">
      <c r="B106" s="17" t="str">
        <f>IF(Table1323[[#This Row],[Space Type]]="","","L-"&amp;ROW(100:100))</f>
        <v/>
      </c>
      <c r="C106" s="206"/>
      <c r="D106" s="207"/>
      <c r="E106" s="207"/>
      <c r="F106" s="207"/>
      <c r="G106" s="208" t="str">
        <f>IFERROR(IF(Table1323[[#This Row],[No]]="","",IF(Table1323[[#This Row],[Space Type]]="","select Space Type",INDEX(Table5[Hours],MATCH(Table1323[[#This Row],[Space Type]],Table5[Space Type],0)))),"")</f>
        <v/>
      </c>
      <c r="H106" s="207"/>
      <c r="I106" s="207"/>
      <c r="J106" s="613" t="str">
        <f>IFERROR(INDEX(Table1[Integrated Controls Capable],MATCH(Table1323[[#This Row],[Rebate Category]],Table1[BC Hydro Rebate Category],0)),"")</f>
        <v/>
      </c>
      <c r="K106" s="207"/>
      <c r="L106" s="572" t="str" cm="1">
        <f t="array" ref="L106">IFERROR(INDEX(Table1[Rebate],MATCH(Table1323[[#This Row],[Rebate Category]],Table1[BC Hydro Rebate Category],0))+IF(AND(Table1323[[#This Row],[Integrated Controls Capable]],Table1323[[#This Row],[Fixture Integrated Occupancy/Daylight Harvesting Sensors?]]="Yes"),Table6[],0),"")</f>
        <v/>
      </c>
      <c r="M106" s="574" t="str">
        <f>IFERROR(IF(AND(Table1323[[#This Row],[Integrated Controls Capable]],Table1323[[#This Row],[Fixture Integrated Occupancy/Daylight Harvesting Sensors?]]="Yes"),"per integrated luminaire", INDEX(Table1[Rebate Unit],MATCH(Table1323[[#This Row],[Rebate Category]],Table1[BC Hydro Rebate Category],0))),"")</f>
        <v/>
      </c>
      <c r="N106" s="207"/>
      <c r="O106" s="207"/>
      <c r="P106" s="206"/>
      <c r="Q106" s="209">
        <f>IFERROR(Table1323[[#This Row],[Rebate per luminaire, ($)]]*Table1323[[#This Row],[Quantity of luminaires or lamps]],0)</f>
        <v>0</v>
      </c>
      <c r="R10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06" s="211" t="str">
        <f>IFERROR(IF(Table1323[[#This Row],[Quantity of luminaires or lamps]]="","",IF(Table1323[[#This Row],[Controls Rebate]]="",0,Table1323[[#This Row],[Controls Rebate]])+Table1323[[#This Row],[Lighting Rebate]]),"")</f>
        <v/>
      </c>
      <c r="T10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06" s="213">
        <f>IFERROR(Table1323[[#This Row],[Rebate kW Savings]]*Table1323[[#This Row],[Annual hours from space type]],0)</f>
        <v>0</v>
      </c>
      <c r="V10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06" s="213">
        <f>Table1323[[#This Row],[Rebate kWh savings]]+Table1323[[#This Row],[Controls Rebate kWh Savings]]</f>
        <v>0</v>
      </c>
      <c r="X106" s="214" t="str">
        <f>IFERROR(IF(Table1323[[#This Row],[Quantity of luminaires or lamps]]="","",Table1323[[#This Row],[Rebate kW Savings]]),0)</f>
        <v/>
      </c>
      <c r="Y106" s="215" t="str">
        <f>IFERROR(IF(Table1323[[#This Row],[Quantity of luminaires or lamps]]="","",Table1323[[#This Row],[Total Lighting Rebate Energy Savings]]),0)</f>
        <v/>
      </c>
      <c r="Z106" s="207"/>
      <c r="AA106" s="18" t="str">
        <f>IF(Table1323[[#This Row],[Selected for Implementation]]="Yes",IF(Table1323[[#This Row],[No]]="","",(CONCATENATE("Light_"&amp;Table1323[[#This Row],[Rebate Category]]&amp;Table1323[[#This Row],[LED lamp/luminaire retrofit part '#]]))),"")</f>
        <v/>
      </c>
      <c r="AB106" s="20" t="str" cm="1">
        <f t="array" ref="AB106">IFERROR(IF(Table1323[[#This Row],[Annual hours from space type]]&gt;=Table14[],Table1323[[#This Row],[Demand Savings, kW]],0),0)</f>
        <v/>
      </c>
      <c r="AC106" s="19" t="str">
        <f>IFERROR(INDEX(Table1[BC Hydro xRM ECM],MATCH(Table1323[[#This Row],[Rebate Category]],Table1[BC Hydro Rebate Category],0)),"")</f>
        <v/>
      </c>
      <c r="AD106" s="18">
        <f>IF(Table1323[[#This Row],[Selected for Implementation]]="Yes",1,0)</f>
        <v>0</v>
      </c>
      <c r="AE106" s="18" t="e">
        <f>Table1323[[#This Row],[Implement]]*Table1323[[#This Row],[Demand Savings, kW]]</f>
        <v>#VALUE!</v>
      </c>
      <c r="AF106" s="18" t="e">
        <f>Table1323[[#This Row],[Implement]]*Table1323[[#This Row],[BCH Peak kW]]</f>
        <v>#VALUE!</v>
      </c>
      <c r="AG106" s="18">
        <f>Table1323[[#This Row],[Implement]]*Table1323[[#This Row],[Rebate kWh savings]]</f>
        <v>0</v>
      </c>
      <c r="AH106" s="18">
        <f>Table1323[[#This Row],[Implement]]*Table1323[[#This Row],[Controls Rebate kWh Savings]]</f>
        <v>0</v>
      </c>
      <c r="AI106" s="233">
        <f>Table1323[[#This Row],[Implement]]*Table1323[[#This Row],[Controls Rebate]]</f>
        <v>0</v>
      </c>
      <c r="AJ106" s="569">
        <f>IF(Table1323[[#This Row],[iControls Incentives]]&gt;0,Table1323[[#This Row],[Number of  sensors]],0)</f>
        <v>0</v>
      </c>
      <c r="AK106" s="233">
        <f>Table1323[[#This Row],[Implement]]*Table1323[[#This Row],[Lighting Rebate]]</f>
        <v>0</v>
      </c>
    </row>
    <row r="107" spans="2:37" ht="32.15" customHeight="1" x14ac:dyDescent="0.3">
      <c r="B107" s="17" t="str">
        <f>IF(Table1323[[#This Row],[Space Type]]="","","L-"&amp;ROW(101:101))</f>
        <v/>
      </c>
      <c r="C107" s="206"/>
      <c r="D107" s="207"/>
      <c r="E107" s="207"/>
      <c r="F107" s="207"/>
      <c r="G107" s="208" t="str">
        <f>IFERROR(IF(Table1323[[#This Row],[No]]="","",IF(Table1323[[#This Row],[Space Type]]="","select Space Type",INDEX(Table5[Hours],MATCH(Table1323[[#This Row],[Space Type]],Table5[Space Type],0)))),"")</f>
        <v/>
      </c>
      <c r="H107" s="207"/>
      <c r="I107" s="207"/>
      <c r="J107" s="613" t="str">
        <f>IFERROR(INDEX(Table1[Integrated Controls Capable],MATCH(Table1323[[#This Row],[Rebate Category]],Table1[BC Hydro Rebate Category],0)),"")</f>
        <v/>
      </c>
      <c r="K107" s="207"/>
      <c r="L107" s="572" t="str" cm="1">
        <f t="array" ref="L107">IFERROR(INDEX(Table1[Rebate],MATCH(Table1323[[#This Row],[Rebate Category]],Table1[BC Hydro Rebate Category],0))+IF(AND(Table1323[[#This Row],[Integrated Controls Capable]],Table1323[[#This Row],[Fixture Integrated Occupancy/Daylight Harvesting Sensors?]]="Yes"),Table6[],0),"")</f>
        <v/>
      </c>
      <c r="M107" s="574" t="str">
        <f>IFERROR(IF(AND(Table1323[[#This Row],[Integrated Controls Capable]],Table1323[[#This Row],[Fixture Integrated Occupancy/Daylight Harvesting Sensors?]]="Yes"),"per integrated luminaire", INDEX(Table1[Rebate Unit],MATCH(Table1323[[#This Row],[Rebate Category]],Table1[BC Hydro Rebate Category],0))),"")</f>
        <v/>
      </c>
      <c r="N107" s="207"/>
      <c r="O107" s="207"/>
      <c r="P107" s="206"/>
      <c r="Q107" s="209">
        <f>IFERROR(Table1323[[#This Row],[Rebate per luminaire, ($)]]*Table1323[[#This Row],[Quantity of luminaires or lamps]],0)</f>
        <v>0</v>
      </c>
      <c r="R10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07" s="211" t="str">
        <f>IFERROR(IF(Table1323[[#This Row],[Quantity of luminaires or lamps]]="","",IF(Table1323[[#This Row],[Controls Rebate]]="",0,Table1323[[#This Row],[Controls Rebate]])+Table1323[[#This Row],[Lighting Rebate]]),"")</f>
        <v/>
      </c>
      <c r="T10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07" s="213">
        <f>IFERROR(Table1323[[#This Row],[Rebate kW Savings]]*Table1323[[#This Row],[Annual hours from space type]],0)</f>
        <v>0</v>
      </c>
      <c r="V10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07" s="213">
        <f>Table1323[[#This Row],[Rebate kWh savings]]+Table1323[[#This Row],[Controls Rebate kWh Savings]]</f>
        <v>0</v>
      </c>
      <c r="X107" s="214" t="str">
        <f>IFERROR(IF(Table1323[[#This Row],[Quantity of luminaires or lamps]]="","",Table1323[[#This Row],[Rebate kW Savings]]),0)</f>
        <v/>
      </c>
      <c r="Y107" s="215" t="str">
        <f>IFERROR(IF(Table1323[[#This Row],[Quantity of luminaires or lamps]]="","",Table1323[[#This Row],[Total Lighting Rebate Energy Savings]]),0)</f>
        <v/>
      </c>
      <c r="Z107" s="207"/>
      <c r="AA107" s="18" t="str">
        <f>IF(Table1323[[#This Row],[Selected for Implementation]]="Yes",IF(Table1323[[#This Row],[No]]="","",(CONCATENATE("Light_"&amp;Table1323[[#This Row],[Rebate Category]]&amp;Table1323[[#This Row],[LED lamp/luminaire retrofit part '#]]))),"")</f>
        <v/>
      </c>
      <c r="AB107" s="20" t="str" cm="1">
        <f t="array" ref="AB107">IFERROR(IF(Table1323[[#This Row],[Annual hours from space type]]&gt;=Table14[],Table1323[[#This Row],[Demand Savings, kW]],0),0)</f>
        <v/>
      </c>
      <c r="AC107" s="19" t="str">
        <f>IFERROR(INDEX(Table1[BC Hydro xRM ECM],MATCH(Table1323[[#This Row],[Rebate Category]],Table1[BC Hydro Rebate Category],0)),"")</f>
        <v/>
      </c>
      <c r="AD107" s="18">
        <f>IF(Table1323[[#This Row],[Selected for Implementation]]="Yes",1,0)</f>
        <v>0</v>
      </c>
      <c r="AE107" s="18" t="e">
        <f>Table1323[[#This Row],[Implement]]*Table1323[[#This Row],[Demand Savings, kW]]</f>
        <v>#VALUE!</v>
      </c>
      <c r="AF107" s="18" t="e">
        <f>Table1323[[#This Row],[Implement]]*Table1323[[#This Row],[BCH Peak kW]]</f>
        <v>#VALUE!</v>
      </c>
      <c r="AG107" s="18">
        <f>Table1323[[#This Row],[Implement]]*Table1323[[#This Row],[Rebate kWh savings]]</f>
        <v>0</v>
      </c>
      <c r="AH107" s="18">
        <f>Table1323[[#This Row],[Implement]]*Table1323[[#This Row],[Controls Rebate kWh Savings]]</f>
        <v>0</v>
      </c>
      <c r="AI107" s="233">
        <f>Table1323[[#This Row],[Implement]]*Table1323[[#This Row],[Controls Rebate]]</f>
        <v>0</v>
      </c>
      <c r="AJ107" s="569">
        <f>IF(Table1323[[#This Row],[iControls Incentives]]&gt;0,Table1323[[#This Row],[Number of  sensors]],0)</f>
        <v>0</v>
      </c>
      <c r="AK107" s="233">
        <f>Table1323[[#This Row],[Implement]]*Table1323[[#This Row],[Lighting Rebate]]</f>
        <v>0</v>
      </c>
    </row>
    <row r="108" spans="2:37" ht="32.15" customHeight="1" x14ac:dyDescent="0.3">
      <c r="B108" s="17" t="str">
        <f>IF(Table1323[[#This Row],[Space Type]]="","","L-"&amp;ROW(102:102))</f>
        <v/>
      </c>
      <c r="C108" s="206"/>
      <c r="D108" s="207"/>
      <c r="E108" s="207"/>
      <c r="F108" s="207"/>
      <c r="G108" s="208" t="str">
        <f>IFERROR(IF(Table1323[[#This Row],[No]]="","",IF(Table1323[[#This Row],[Space Type]]="","select Space Type",INDEX(Table5[Hours],MATCH(Table1323[[#This Row],[Space Type]],Table5[Space Type],0)))),"")</f>
        <v/>
      </c>
      <c r="H108" s="207"/>
      <c r="I108" s="207"/>
      <c r="J108" s="613" t="str">
        <f>IFERROR(INDEX(Table1[Integrated Controls Capable],MATCH(Table1323[[#This Row],[Rebate Category]],Table1[BC Hydro Rebate Category],0)),"")</f>
        <v/>
      </c>
      <c r="K108" s="207"/>
      <c r="L108" s="572" t="str" cm="1">
        <f t="array" ref="L108">IFERROR(INDEX(Table1[Rebate],MATCH(Table1323[[#This Row],[Rebate Category]],Table1[BC Hydro Rebate Category],0))+IF(AND(Table1323[[#This Row],[Integrated Controls Capable]],Table1323[[#This Row],[Fixture Integrated Occupancy/Daylight Harvesting Sensors?]]="Yes"),Table6[],0),"")</f>
        <v/>
      </c>
      <c r="M108" s="574" t="str">
        <f>IFERROR(IF(AND(Table1323[[#This Row],[Integrated Controls Capable]],Table1323[[#This Row],[Fixture Integrated Occupancy/Daylight Harvesting Sensors?]]="Yes"),"per integrated luminaire", INDEX(Table1[Rebate Unit],MATCH(Table1323[[#This Row],[Rebate Category]],Table1[BC Hydro Rebate Category],0))),"")</f>
        <v/>
      </c>
      <c r="N108" s="207"/>
      <c r="O108" s="207"/>
      <c r="P108" s="206"/>
      <c r="Q108" s="209">
        <f>IFERROR(Table1323[[#This Row],[Rebate per luminaire, ($)]]*Table1323[[#This Row],[Quantity of luminaires or lamps]],0)</f>
        <v>0</v>
      </c>
      <c r="R10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08" s="211" t="str">
        <f>IFERROR(IF(Table1323[[#This Row],[Quantity of luminaires or lamps]]="","",IF(Table1323[[#This Row],[Controls Rebate]]="",0,Table1323[[#This Row],[Controls Rebate]])+Table1323[[#This Row],[Lighting Rebate]]),"")</f>
        <v/>
      </c>
      <c r="T10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08" s="213">
        <f>IFERROR(Table1323[[#This Row],[Rebate kW Savings]]*Table1323[[#This Row],[Annual hours from space type]],0)</f>
        <v>0</v>
      </c>
      <c r="V10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08" s="213">
        <f>Table1323[[#This Row],[Rebate kWh savings]]+Table1323[[#This Row],[Controls Rebate kWh Savings]]</f>
        <v>0</v>
      </c>
      <c r="X108" s="214" t="str">
        <f>IFERROR(IF(Table1323[[#This Row],[Quantity of luminaires or lamps]]="","",Table1323[[#This Row],[Rebate kW Savings]]),0)</f>
        <v/>
      </c>
      <c r="Y108" s="215" t="str">
        <f>IFERROR(IF(Table1323[[#This Row],[Quantity of luminaires or lamps]]="","",Table1323[[#This Row],[Total Lighting Rebate Energy Savings]]),0)</f>
        <v/>
      </c>
      <c r="Z108" s="207"/>
      <c r="AA108" s="18" t="str">
        <f>IF(Table1323[[#This Row],[Selected for Implementation]]="Yes",IF(Table1323[[#This Row],[No]]="","",(CONCATENATE("Light_"&amp;Table1323[[#This Row],[Rebate Category]]&amp;Table1323[[#This Row],[LED lamp/luminaire retrofit part '#]]))),"")</f>
        <v/>
      </c>
      <c r="AB108" s="20" t="str" cm="1">
        <f t="array" ref="AB108">IFERROR(IF(Table1323[[#This Row],[Annual hours from space type]]&gt;=Table14[],Table1323[[#This Row],[Demand Savings, kW]],0),0)</f>
        <v/>
      </c>
      <c r="AC108" s="19" t="str">
        <f>IFERROR(INDEX(Table1[BC Hydro xRM ECM],MATCH(Table1323[[#This Row],[Rebate Category]],Table1[BC Hydro Rebate Category],0)),"")</f>
        <v/>
      </c>
      <c r="AD108" s="18">
        <f>IF(Table1323[[#This Row],[Selected for Implementation]]="Yes",1,0)</f>
        <v>0</v>
      </c>
      <c r="AE108" s="18" t="e">
        <f>Table1323[[#This Row],[Implement]]*Table1323[[#This Row],[Demand Savings, kW]]</f>
        <v>#VALUE!</v>
      </c>
      <c r="AF108" s="18" t="e">
        <f>Table1323[[#This Row],[Implement]]*Table1323[[#This Row],[BCH Peak kW]]</f>
        <v>#VALUE!</v>
      </c>
      <c r="AG108" s="18">
        <f>Table1323[[#This Row],[Implement]]*Table1323[[#This Row],[Rebate kWh savings]]</f>
        <v>0</v>
      </c>
      <c r="AH108" s="18">
        <f>Table1323[[#This Row],[Implement]]*Table1323[[#This Row],[Controls Rebate kWh Savings]]</f>
        <v>0</v>
      </c>
      <c r="AI108" s="233">
        <f>Table1323[[#This Row],[Implement]]*Table1323[[#This Row],[Controls Rebate]]</f>
        <v>0</v>
      </c>
      <c r="AJ108" s="569">
        <f>IF(Table1323[[#This Row],[iControls Incentives]]&gt;0,Table1323[[#This Row],[Number of  sensors]],0)</f>
        <v>0</v>
      </c>
      <c r="AK108" s="233">
        <f>Table1323[[#This Row],[Implement]]*Table1323[[#This Row],[Lighting Rebate]]</f>
        <v>0</v>
      </c>
    </row>
    <row r="109" spans="2:37" ht="32.15" customHeight="1" x14ac:dyDescent="0.3">
      <c r="B109" s="17" t="str">
        <f>IF(Table1323[[#This Row],[Space Type]]="","","L-"&amp;ROW(103:103))</f>
        <v/>
      </c>
      <c r="C109" s="206"/>
      <c r="D109" s="207"/>
      <c r="E109" s="207"/>
      <c r="F109" s="207"/>
      <c r="G109" s="208" t="str">
        <f>IFERROR(IF(Table1323[[#This Row],[No]]="","",IF(Table1323[[#This Row],[Space Type]]="","select Space Type",INDEX(Table5[Hours],MATCH(Table1323[[#This Row],[Space Type]],Table5[Space Type],0)))),"")</f>
        <v/>
      </c>
      <c r="H109" s="207"/>
      <c r="I109" s="207"/>
      <c r="J109" s="613" t="str">
        <f>IFERROR(INDEX(Table1[Integrated Controls Capable],MATCH(Table1323[[#This Row],[Rebate Category]],Table1[BC Hydro Rebate Category],0)),"")</f>
        <v/>
      </c>
      <c r="K109" s="207"/>
      <c r="L109" s="572" t="str" cm="1">
        <f t="array" ref="L109">IFERROR(INDEX(Table1[Rebate],MATCH(Table1323[[#This Row],[Rebate Category]],Table1[BC Hydro Rebate Category],0))+IF(AND(Table1323[[#This Row],[Integrated Controls Capable]],Table1323[[#This Row],[Fixture Integrated Occupancy/Daylight Harvesting Sensors?]]="Yes"),Table6[],0),"")</f>
        <v/>
      </c>
      <c r="M109" s="574" t="str">
        <f>IFERROR(IF(AND(Table1323[[#This Row],[Integrated Controls Capable]],Table1323[[#This Row],[Fixture Integrated Occupancy/Daylight Harvesting Sensors?]]="Yes"),"per integrated luminaire", INDEX(Table1[Rebate Unit],MATCH(Table1323[[#This Row],[Rebate Category]],Table1[BC Hydro Rebate Category],0))),"")</f>
        <v/>
      </c>
      <c r="N109" s="207"/>
      <c r="O109" s="207"/>
      <c r="P109" s="206"/>
      <c r="Q109" s="209">
        <f>IFERROR(Table1323[[#This Row],[Rebate per luminaire, ($)]]*Table1323[[#This Row],[Quantity of luminaires or lamps]],0)</f>
        <v>0</v>
      </c>
      <c r="R10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09" s="211" t="str">
        <f>IFERROR(IF(Table1323[[#This Row],[Quantity of luminaires or lamps]]="","",IF(Table1323[[#This Row],[Controls Rebate]]="",0,Table1323[[#This Row],[Controls Rebate]])+Table1323[[#This Row],[Lighting Rebate]]),"")</f>
        <v/>
      </c>
      <c r="T10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09" s="213">
        <f>IFERROR(Table1323[[#This Row],[Rebate kW Savings]]*Table1323[[#This Row],[Annual hours from space type]],0)</f>
        <v>0</v>
      </c>
      <c r="V10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09" s="213">
        <f>Table1323[[#This Row],[Rebate kWh savings]]+Table1323[[#This Row],[Controls Rebate kWh Savings]]</f>
        <v>0</v>
      </c>
      <c r="X109" s="214" t="str">
        <f>IFERROR(IF(Table1323[[#This Row],[Quantity of luminaires or lamps]]="","",Table1323[[#This Row],[Rebate kW Savings]]),0)</f>
        <v/>
      </c>
      <c r="Y109" s="215" t="str">
        <f>IFERROR(IF(Table1323[[#This Row],[Quantity of luminaires or lamps]]="","",Table1323[[#This Row],[Total Lighting Rebate Energy Savings]]),0)</f>
        <v/>
      </c>
      <c r="Z109" s="207"/>
      <c r="AA109" s="18" t="str">
        <f>IF(Table1323[[#This Row],[Selected for Implementation]]="Yes",IF(Table1323[[#This Row],[No]]="","",(CONCATENATE("Light_"&amp;Table1323[[#This Row],[Rebate Category]]&amp;Table1323[[#This Row],[LED lamp/luminaire retrofit part '#]]))),"")</f>
        <v/>
      </c>
      <c r="AB109" s="20" t="str" cm="1">
        <f t="array" ref="AB109">IFERROR(IF(Table1323[[#This Row],[Annual hours from space type]]&gt;=Table14[],Table1323[[#This Row],[Demand Savings, kW]],0),0)</f>
        <v/>
      </c>
      <c r="AC109" s="19" t="str">
        <f>IFERROR(INDEX(Table1[BC Hydro xRM ECM],MATCH(Table1323[[#This Row],[Rebate Category]],Table1[BC Hydro Rebate Category],0)),"")</f>
        <v/>
      </c>
      <c r="AD109" s="18">
        <f>IF(Table1323[[#This Row],[Selected for Implementation]]="Yes",1,0)</f>
        <v>0</v>
      </c>
      <c r="AE109" s="18" t="e">
        <f>Table1323[[#This Row],[Implement]]*Table1323[[#This Row],[Demand Savings, kW]]</f>
        <v>#VALUE!</v>
      </c>
      <c r="AF109" s="18" t="e">
        <f>Table1323[[#This Row],[Implement]]*Table1323[[#This Row],[BCH Peak kW]]</f>
        <v>#VALUE!</v>
      </c>
      <c r="AG109" s="18">
        <f>Table1323[[#This Row],[Implement]]*Table1323[[#This Row],[Rebate kWh savings]]</f>
        <v>0</v>
      </c>
      <c r="AH109" s="18">
        <f>Table1323[[#This Row],[Implement]]*Table1323[[#This Row],[Controls Rebate kWh Savings]]</f>
        <v>0</v>
      </c>
      <c r="AI109" s="233">
        <f>Table1323[[#This Row],[Implement]]*Table1323[[#This Row],[Controls Rebate]]</f>
        <v>0</v>
      </c>
      <c r="AJ109" s="569">
        <f>IF(Table1323[[#This Row],[iControls Incentives]]&gt;0,Table1323[[#This Row],[Number of  sensors]],0)</f>
        <v>0</v>
      </c>
      <c r="AK109" s="233">
        <f>Table1323[[#This Row],[Implement]]*Table1323[[#This Row],[Lighting Rebate]]</f>
        <v>0</v>
      </c>
    </row>
    <row r="110" spans="2:37" ht="32.15" customHeight="1" x14ac:dyDescent="0.3">
      <c r="B110" s="17" t="str">
        <f>IF(Table1323[[#This Row],[Space Type]]="","","L-"&amp;ROW(104:104))</f>
        <v/>
      </c>
      <c r="C110" s="206"/>
      <c r="D110" s="207"/>
      <c r="E110" s="207"/>
      <c r="F110" s="207"/>
      <c r="G110" s="208" t="str">
        <f>IFERROR(IF(Table1323[[#This Row],[No]]="","",IF(Table1323[[#This Row],[Space Type]]="","select Space Type",INDEX(Table5[Hours],MATCH(Table1323[[#This Row],[Space Type]],Table5[Space Type],0)))),"")</f>
        <v/>
      </c>
      <c r="H110" s="207"/>
      <c r="I110" s="207"/>
      <c r="J110" s="613" t="str">
        <f>IFERROR(INDEX(Table1[Integrated Controls Capable],MATCH(Table1323[[#This Row],[Rebate Category]],Table1[BC Hydro Rebate Category],0)),"")</f>
        <v/>
      </c>
      <c r="K110" s="207"/>
      <c r="L110" s="572" t="str" cm="1">
        <f t="array" ref="L110">IFERROR(INDEX(Table1[Rebate],MATCH(Table1323[[#This Row],[Rebate Category]],Table1[BC Hydro Rebate Category],0))+IF(AND(Table1323[[#This Row],[Integrated Controls Capable]],Table1323[[#This Row],[Fixture Integrated Occupancy/Daylight Harvesting Sensors?]]="Yes"),Table6[],0),"")</f>
        <v/>
      </c>
      <c r="M110" s="574" t="str">
        <f>IFERROR(IF(AND(Table1323[[#This Row],[Integrated Controls Capable]],Table1323[[#This Row],[Fixture Integrated Occupancy/Daylight Harvesting Sensors?]]="Yes"),"per integrated luminaire", INDEX(Table1[Rebate Unit],MATCH(Table1323[[#This Row],[Rebate Category]],Table1[BC Hydro Rebate Category],0))),"")</f>
        <v/>
      </c>
      <c r="N110" s="207"/>
      <c r="O110" s="207"/>
      <c r="P110" s="206"/>
      <c r="Q110" s="209">
        <f>IFERROR(Table1323[[#This Row],[Rebate per luminaire, ($)]]*Table1323[[#This Row],[Quantity of luminaires or lamps]],0)</f>
        <v>0</v>
      </c>
      <c r="R11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10" s="211" t="str">
        <f>IFERROR(IF(Table1323[[#This Row],[Quantity of luminaires or lamps]]="","",IF(Table1323[[#This Row],[Controls Rebate]]="",0,Table1323[[#This Row],[Controls Rebate]])+Table1323[[#This Row],[Lighting Rebate]]),"")</f>
        <v/>
      </c>
      <c r="T11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10" s="213">
        <f>IFERROR(Table1323[[#This Row],[Rebate kW Savings]]*Table1323[[#This Row],[Annual hours from space type]],0)</f>
        <v>0</v>
      </c>
      <c r="V11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10" s="213">
        <f>Table1323[[#This Row],[Rebate kWh savings]]+Table1323[[#This Row],[Controls Rebate kWh Savings]]</f>
        <v>0</v>
      </c>
      <c r="X110" s="214" t="str">
        <f>IFERROR(IF(Table1323[[#This Row],[Quantity of luminaires or lamps]]="","",Table1323[[#This Row],[Rebate kW Savings]]),0)</f>
        <v/>
      </c>
      <c r="Y110" s="215" t="str">
        <f>IFERROR(IF(Table1323[[#This Row],[Quantity of luminaires or lamps]]="","",Table1323[[#This Row],[Total Lighting Rebate Energy Savings]]),0)</f>
        <v/>
      </c>
      <c r="Z110" s="207"/>
      <c r="AA110" s="18" t="str">
        <f>IF(Table1323[[#This Row],[Selected for Implementation]]="Yes",IF(Table1323[[#This Row],[No]]="","",(CONCATENATE("Light_"&amp;Table1323[[#This Row],[Rebate Category]]&amp;Table1323[[#This Row],[LED lamp/luminaire retrofit part '#]]))),"")</f>
        <v/>
      </c>
      <c r="AB110" s="20" t="str" cm="1">
        <f t="array" ref="AB110">IFERROR(IF(Table1323[[#This Row],[Annual hours from space type]]&gt;=Table14[],Table1323[[#This Row],[Demand Savings, kW]],0),0)</f>
        <v/>
      </c>
      <c r="AC110" s="19" t="str">
        <f>IFERROR(INDEX(Table1[BC Hydro xRM ECM],MATCH(Table1323[[#This Row],[Rebate Category]],Table1[BC Hydro Rebate Category],0)),"")</f>
        <v/>
      </c>
      <c r="AD110" s="18">
        <f>IF(Table1323[[#This Row],[Selected for Implementation]]="Yes",1,0)</f>
        <v>0</v>
      </c>
      <c r="AE110" s="18" t="e">
        <f>Table1323[[#This Row],[Implement]]*Table1323[[#This Row],[Demand Savings, kW]]</f>
        <v>#VALUE!</v>
      </c>
      <c r="AF110" s="18" t="e">
        <f>Table1323[[#This Row],[Implement]]*Table1323[[#This Row],[BCH Peak kW]]</f>
        <v>#VALUE!</v>
      </c>
      <c r="AG110" s="18">
        <f>Table1323[[#This Row],[Implement]]*Table1323[[#This Row],[Rebate kWh savings]]</f>
        <v>0</v>
      </c>
      <c r="AH110" s="18">
        <f>Table1323[[#This Row],[Implement]]*Table1323[[#This Row],[Controls Rebate kWh Savings]]</f>
        <v>0</v>
      </c>
      <c r="AI110" s="233">
        <f>Table1323[[#This Row],[Implement]]*Table1323[[#This Row],[Controls Rebate]]</f>
        <v>0</v>
      </c>
      <c r="AJ110" s="569">
        <f>IF(Table1323[[#This Row],[iControls Incentives]]&gt;0,Table1323[[#This Row],[Number of  sensors]],0)</f>
        <v>0</v>
      </c>
      <c r="AK110" s="233">
        <f>Table1323[[#This Row],[Implement]]*Table1323[[#This Row],[Lighting Rebate]]</f>
        <v>0</v>
      </c>
    </row>
    <row r="111" spans="2:37" ht="32.15" customHeight="1" x14ac:dyDescent="0.3">
      <c r="B111" s="17" t="str">
        <f>IF(Table1323[[#This Row],[Space Type]]="","","L-"&amp;ROW(105:105))</f>
        <v/>
      </c>
      <c r="C111" s="206"/>
      <c r="D111" s="207"/>
      <c r="E111" s="207"/>
      <c r="F111" s="207"/>
      <c r="G111" s="208" t="str">
        <f>IFERROR(IF(Table1323[[#This Row],[No]]="","",IF(Table1323[[#This Row],[Space Type]]="","select Space Type",INDEX(Table5[Hours],MATCH(Table1323[[#This Row],[Space Type]],Table5[Space Type],0)))),"")</f>
        <v/>
      </c>
      <c r="H111" s="207"/>
      <c r="I111" s="207"/>
      <c r="J111" s="613" t="str">
        <f>IFERROR(INDEX(Table1[Integrated Controls Capable],MATCH(Table1323[[#This Row],[Rebate Category]],Table1[BC Hydro Rebate Category],0)),"")</f>
        <v/>
      </c>
      <c r="K111" s="207"/>
      <c r="L111" s="572" t="str" cm="1">
        <f t="array" ref="L111">IFERROR(INDEX(Table1[Rebate],MATCH(Table1323[[#This Row],[Rebate Category]],Table1[BC Hydro Rebate Category],0))+IF(AND(Table1323[[#This Row],[Integrated Controls Capable]],Table1323[[#This Row],[Fixture Integrated Occupancy/Daylight Harvesting Sensors?]]="Yes"),Table6[],0),"")</f>
        <v/>
      </c>
      <c r="M111" s="574" t="str">
        <f>IFERROR(IF(AND(Table1323[[#This Row],[Integrated Controls Capable]],Table1323[[#This Row],[Fixture Integrated Occupancy/Daylight Harvesting Sensors?]]="Yes"),"per integrated luminaire", INDEX(Table1[Rebate Unit],MATCH(Table1323[[#This Row],[Rebate Category]],Table1[BC Hydro Rebate Category],0))),"")</f>
        <v/>
      </c>
      <c r="N111" s="207"/>
      <c r="O111" s="207"/>
      <c r="P111" s="206"/>
      <c r="Q111" s="209">
        <f>IFERROR(Table1323[[#This Row],[Rebate per luminaire, ($)]]*Table1323[[#This Row],[Quantity of luminaires or lamps]],0)</f>
        <v>0</v>
      </c>
      <c r="R11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11" s="211" t="str">
        <f>IFERROR(IF(Table1323[[#This Row],[Quantity of luminaires or lamps]]="","",IF(Table1323[[#This Row],[Controls Rebate]]="",0,Table1323[[#This Row],[Controls Rebate]])+Table1323[[#This Row],[Lighting Rebate]]),"")</f>
        <v/>
      </c>
      <c r="T11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11" s="213">
        <f>IFERROR(Table1323[[#This Row],[Rebate kW Savings]]*Table1323[[#This Row],[Annual hours from space type]],0)</f>
        <v>0</v>
      </c>
      <c r="V11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11" s="213">
        <f>Table1323[[#This Row],[Rebate kWh savings]]+Table1323[[#This Row],[Controls Rebate kWh Savings]]</f>
        <v>0</v>
      </c>
      <c r="X111" s="214" t="str">
        <f>IFERROR(IF(Table1323[[#This Row],[Quantity of luminaires or lamps]]="","",Table1323[[#This Row],[Rebate kW Savings]]),0)</f>
        <v/>
      </c>
      <c r="Y111" s="215" t="str">
        <f>IFERROR(IF(Table1323[[#This Row],[Quantity of luminaires or lamps]]="","",Table1323[[#This Row],[Total Lighting Rebate Energy Savings]]),0)</f>
        <v/>
      </c>
      <c r="Z111" s="207"/>
      <c r="AA111" s="18" t="str">
        <f>IF(Table1323[[#This Row],[Selected for Implementation]]="Yes",IF(Table1323[[#This Row],[No]]="","",(CONCATENATE("Light_"&amp;Table1323[[#This Row],[Rebate Category]]&amp;Table1323[[#This Row],[LED lamp/luminaire retrofit part '#]]))),"")</f>
        <v/>
      </c>
      <c r="AB111" s="20" t="str" cm="1">
        <f t="array" ref="AB111">IFERROR(IF(Table1323[[#This Row],[Annual hours from space type]]&gt;=Table14[],Table1323[[#This Row],[Demand Savings, kW]],0),0)</f>
        <v/>
      </c>
      <c r="AC111" s="19" t="str">
        <f>IFERROR(INDEX(Table1[BC Hydro xRM ECM],MATCH(Table1323[[#This Row],[Rebate Category]],Table1[BC Hydro Rebate Category],0)),"")</f>
        <v/>
      </c>
      <c r="AD111" s="18">
        <f>IF(Table1323[[#This Row],[Selected for Implementation]]="Yes",1,0)</f>
        <v>0</v>
      </c>
      <c r="AE111" s="18" t="e">
        <f>Table1323[[#This Row],[Implement]]*Table1323[[#This Row],[Demand Savings, kW]]</f>
        <v>#VALUE!</v>
      </c>
      <c r="AF111" s="18" t="e">
        <f>Table1323[[#This Row],[Implement]]*Table1323[[#This Row],[BCH Peak kW]]</f>
        <v>#VALUE!</v>
      </c>
      <c r="AG111" s="18">
        <f>Table1323[[#This Row],[Implement]]*Table1323[[#This Row],[Rebate kWh savings]]</f>
        <v>0</v>
      </c>
      <c r="AH111" s="18">
        <f>Table1323[[#This Row],[Implement]]*Table1323[[#This Row],[Controls Rebate kWh Savings]]</f>
        <v>0</v>
      </c>
      <c r="AI111" s="233">
        <f>Table1323[[#This Row],[Implement]]*Table1323[[#This Row],[Controls Rebate]]</f>
        <v>0</v>
      </c>
      <c r="AJ111" s="569">
        <f>IF(Table1323[[#This Row],[iControls Incentives]]&gt;0,Table1323[[#This Row],[Number of  sensors]],0)</f>
        <v>0</v>
      </c>
      <c r="AK111" s="233">
        <f>Table1323[[#This Row],[Implement]]*Table1323[[#This Row],[Lighting Rebate]]</f>
        <v>0</v>
      </c>
    </row>
    <row r="112" spans="2:37" ht="32.15" customHeight="1" x14ac:dyDescent="0.3">
      <c r="B112" s="17" t="str">
        <f>IF(Table1323[[#This Row],[Space Type]]="","","L-"&amp;ROW(106:106))</f>
        <v/>
      </c>
      <c r="C112" s="206"/>
      <c r="D112" s="207"/>
      <c r="E112" s="207"/>
      <c r="F112" s="207"/>
      <c r="G112" s="208" t="str">
        <f>IFERROR(IF(Table1323[[#This Row],[No]]="","",IF(Table1323[[#This Row],[Space Type]]="","select Space Type",INDEX(Table5[Hours],MATCH(Table1323[[#This Row],[Space Type]],Table5[Space Type],0)))),"")</f>
        <v/>
      </c>
      <c r="H112" s="207"/>
      <c r="I112" s="207"/>
      <c r="J112" s="613" t="str">
        <f>IFERROR(INDEX(Table1[Integrated Controls Capable],MATCH(Table1323[[#This Row],[Rebate Category]],Table1[BC Hydro Rebate Category],0)),"")</f>
        <v/>
      </c>
      <c r="K112" s="207"/>
      <c r="L112" s="572" t="str" cm="1">
        <f t="array" ref="L112">IFERROR(INDEX(Table1[Rebate],MATCH(Table1323[[#This Row],[Rebate Category]],Table1[BC Hydro Rebate Category],0))+IF(AND(Table1323[[#This Row],[Integrated Controls Capable]],Table1323[[#This Row],[Fixture Integrated Occupancy/Daylight Harvesting Sensors?]]="Yes"),Table6[],0),"")</f>
        <v/>
      </c>
      <c r="M112" s="574" t="str">
        <f>IFERROR(IF(AND(Table1323[[#This Row],[Integrated Controls Capable]],Table1323[[#This Row],[Fixture Integrated Occupancy/Daylight Harvesting Sensors?]]="Yes"),"per integrated luminaire", INDEX(Table1[Rebate Unit],MATCH(Table1323[[#This Row],[Rebate Category]],Table1[BC Hydro Rebate Category],0))),"")</f>
        <v/>
      </c>
      <c r="N112" s="207"/>
      <c r="O112" s="207"/>
      <c r="P112" s="206"/>
      <c r="Q112" s="209">
        <f>IFERROR(Table1323[[#This Row],[Rebate per luminaire, ($)]]*Table1323[[#This Row],[Quantity of luminaires or lamps]],0)</f>
        <v>0</v>
      </c>
      <c r="R11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12" s="211" t="str">
        <f>IFERROR(IF(Table1323[[#This Row],[Quantity of luminaires or lamps]]="","",IF(Table1323[[#This Row],[Controls Rebate]]="",0,Table1323[[#This Row],[Controls Rebate]])+Table1323[[#This Row],[Lighting Rebate]]),"")</f>
        <v/>
      </c>
      <c r="T11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12" s="213">
        <f>IFERROR(Table1323[[#This Row],[Rebate kW Savings]]*Table1323[[#This Row],[Annual hours from space type]],0)</f>
        <v>0</v>
      </c>
      <c r="V11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12" s="213">
        <f>Table1323[[#This Row],[Rebate kWh savings]]+Table1323[[#This Row],[Controls Rebate kWh Savings]]</f>
        <v>0</v>
      </c>
      <c r="X112" s="214" t="str">
        <f>IFERROR(IF(Table1323[[#This Row],[Quantity of luminaires or lamps]]="","",Table1323[[#This Row],[Rebate kW Savings]]),0)</f>
        <v/>
      </c>
      <c r="Y112" s="215" t="str">
        <f>IFERROR(IF(Table1323[[#This Row],[Quantity of luminaires or lamps]]="","",Table1323[[#This Row],[Total Lighting Rebate Energy Savings]]),0)</f>
        <v/>
      </c>
      <c r="Z112" s="207"/>
      <c r="AA112" s="18" t="str">
        <f>IF(Table1323[[#This Row],[Selected for Implementation]]="Yes",IF(Table1323[[#This Row],[No]]="","",(CONCATENATE("Light_"&amp;Table1323[[#This Row],[Rebate Category]]&amp;Table1323[[#This Row],[LED lamp/luminaire retrofit part '#]]))),"")</f>
        <v/>
      </c>
      <c r="AB112" s="20" t="str" cm="1">
        <f t="array" ref="AB112">IFERROR(IF(Table1323[[#This Row],[Annual hours from space type]]&gt;=Table14[],Table1323[[#This Row],[Demand Savings, kW]],0),0)</f>
        <v/>
      </c>
      <c r="AC112" s="19" t="str">
        <f>IFERROR(INDEX(Table1[BC Hydro xRM ECM],MATCH(Table1323[[#This Row],[Rebate Category]],Table1[BC Hydro Rebate Category],0)),"")</f>
        <v/>
      </c>
      <c r="AD112" s="18">
        <f>IF(Table1323[[#This Row],[Selected for Implementation]]="Yes",1,0)</f>
        <v>0</v>
      </c>
      <c r="AE112" s="18" t="e">
        <f>Table1323[[#This Row],[Implement]]*Table1323[[#This Row],[Demand Savings, kW]]</f>
        <v>#VALUE!</v>
      </c>
      <c r="AF112" s="18" t="e">
        <f>Table1323[[#This Row],[Implement]]*Table1323[[#This Row],[BCH Peak kW]]</f>
        <v>#VALUE!</v>
      </c>
      <c r="AG112" s="18">
        <f>Table1323[[#This Row],[Implement]]*Table1323[[#This Row],[Rebate kWh savings]]</f>
        <v>0</v>
      </c>
      <c r="AH112" s="18">
        <f>Table1323[[#This Row],[Implement]]*Table1323[[#This Row],[Controls Rebate kWh Savings]]</f>
        <v>0</v>
      </c>
      <c r="AI112" s="233">
        <f>Table1323[[#This Row],[Implement]]*Table1323[[#This Row],[Controls Rebate]]</f>
        <v>0</v>
      </c>
      <c r="AJ112" s="569">
        <f>IF(Table1323[[#This Row],[iControls Incentives]]&gt;0,Table1323[[#This Row],[Number of  sensors]],0)</f>
        <v>0</v>
      </c>
      <c r="AK112" s="233">
        <f>Table1323[[#This Row],[Implement]]*Table1323[[#This Row],[Lighting Rebate]]</f>
        <v>0</v>
      </c>
    </row>
    <row r="113" spans="2:37" ht="32.15" customHeight="1" x14ac:dyDescent="0.3">
      <c r="B113" s="17" t="str">
        <f>IF(Table1323[[#This Row],[Space Type]]="","","L-"&amp;ROW(107:107))</f>
        <v/>
      </c>
      <c r="C113" s="206"/>
      <c r="D113" s="207"/>
      <c r="E113" s="207"/>
      <c r="F113" s="207"/>
      <c r="G113" s="208" t="str">
        <f>IFERROR(IF(Table1323[[#This Row],[No]]="","",IF(Table1323[[#This Row],[Space Type]]="","select Space Type",INDEX(Table5[Hours],MATCH(Table1323[[#This Row],[Space Type]],Table5[Space Type],0)))),"")</f>
        <v/>
      </c>
      <c r="H113" s="207"/>
      <c r="I113" s="207"/>
      <c r="J113" s="613" t="str">
        <f>IFERROR(INDEX(Table1[Integrated Controls Capable],MATCH(Table1323[[#This Row],[Rebate Category]],Table1[BC Hydro Rebate Category],0)),"")</f>
        <v/>
      </c>
      <c r="K113" s="207"/>
      <c r="L113" s="572" t="str" cm="1">
        <f t="array" ref="L113">IFERROR(INDEX(Table1[Rebate],MATCH(Table1323[[#This Row],[Rebate Category]],Table1[BC Hydro Rebate Category],0))+IF(AND(Table1323[[#This Row],[Integrated Controls Capable]],Table1323[[#This Row],[Fixture Integrated Occupancy/Daylight Harvesting Sensors?]]="Yes"),Table6[],0),"")</f>
        <v/>
      </c>
      <c r="M113" s="574" t="str">
        <f>IFERROR(IF(AND(Table1323[[#This Row],[Integrated Controls Capable]],Table1323[[#This Row],[Fixture Integrated Occupancy/Daylight Harvesting Sensors?]]="Yes"),"per integrated luminaire", INDEX(Table1[Rebate Unit],MATCH(Table1323[[#This Row],[Rebate Category]],Table1[BC Hydro Rebate Category],0))),"")</f>
        <v/>
      </c>
      <c r="N113" s="207"/>
      <c r="O113" s="207"/>
      <c r="P113" s="206"/>
      <c r="Q113" s="209">
        <f>IFERROR(Table1323[[#This Row],[Rebate per luminaire, ($)]]*Table1323[[#This Row],[Quantity of luminaires or lamps]],0)</f>
        <v>0</v>
      </c>
      <c r="R11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13" s="211" t="str">
        <f>IFERROR(IF(Table1323[[#This Row],[Quantity of luminaires or lamps]]="","",IF(Table1323[[#This Row],[Controls Rebate]]="",0,Table1323[[#This Row],[Controls Rebate]])+Table1323[[#This Row],[Lighting Rebate]]),"")</f>
        <v/>
      </c>
      <c r="T11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13" s="213">
        <f>IFERROR(Table1323[[#This Row],[Rebate kW Savings]]*Table1323[[#This Row],[Annual hours from space type]],0)</f>
        <v>0</v>
      </c>
      <c r="V11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13" s="213">
        <f>Table1323[[#This Row],[Rebate kWh savings]]+Table1323[[#This Row],[Controls Rebate kWh Savings]]</f>
        <v>0</v>
      </c>
      <c r="X113" s="214" t="str">
        <f>IFERROR(IF(Table1323[[#This Row],[Quantity of luminaires or lamps]]="","",Table1323[[#This Row],[Rebate kW Savings]]),0)</f>
        <v/>
      </c>
      <c r="Y113" s="215" t="str">
        <f>IFERROR(IF(Table1323[[#This Row],[Quantity of luminaires or lamps]]="","",Table1323[[#This Row],[Total Lighting Rebate Energy Savings]]),0)</f>
        <v/>
      </c>
      <c r="Z113" s="207"/>
      <c r="AA113" s="18" t="str">
        <f>IF(Table1323[[#This Row],[Selected for Implementation]]="Yes",IF(Table1323[[#This Row],[No]]="","",(CONCATENATE("Light_"&amp;Table1323[[#This Row],[Rebate Category]]&amp;Table1323[[#This Row],[LED lamp/luminaire retrofit part '#]]))),"")</f>
        <v/>
      </c>
      <c r="AB113" s="20" t="str" cm="1">
        <f t="array" ref="AB113">IFERROR(IF(Table1323[[#This Row],[Annual hours from space type]]&gt;=Table14[],Table1323[[#This Row],[Demand Savings, kW]],0),0)</f>
        <v/>
      </c>
      <c r="AC113" s="19" t="str">
        <f>IFERROR(INDEX(Table1[BC Hydro xRM ECM],MATCH(Table1323[[#This Row],[Rebate Category]],Table1[BC Hydro Rebate Category],0)),"")</f>
        <v/>
      </c>
      <c r="AD113" s="18">
        <f>IF(Table1323[[#This Row],[Selected for Implementation]]="Yes",1,0)</f>
        <v>0</v>
      </c>
      <c r="AE113" s="18" t="e">
        <f>Table1323[[#This Row],[Implement]]*Table1323[[#This Row],[Demand Savings, kW]]</f>
        <v>#VALUE!</v>
      </c>
      <c r="AF113" s="18" t="e">
        <f>Table1323[[#This Row],[Implement]]*Table1323[[#This Row],[BCH Peak kW]]</f>
        <v>#VALUE!</v>
      </c>
      <c r="AG113" s="18">
        <f>Table1323[[#This Row],[Implement]]*Table1323[[#This Row],[Rebate kWh savings]]</f>
        <v>0</v>
      </c>
      <c r="AH113" s="18">
        <f>Table1323[[#This Row],[Implement]]*Table1323[[#This Row],[Controls Rebate kWh Savings]]</f>
        <v>0</v>
      </c>
      <c r="AI113" s="233">
        <f>Table1323[[#This Row],[Implement]]*Table1323[[#This Row],[Controls Rebate]]</f>
        <v>0</v>
      </c>
      <c r="AJ113" s="569">
        <f>IF(Table1323[[#This Row],[iControls Incentives]]&gt;0,Table1323[[#This Row],[Number of  sensors]],0)</f>
        <v>0</v>
      </c>
      <c r="AK113" s="233">
        <f>Table1323[[#This Row],[Implement]]*Table1323[[#This Row],[Lighting Rebate]]</f>
        <v>0</v>
      </c>
    </row>
    <row r="114" spans="2:37" ht="32.15" customHeight="1" x14ac:dyDescent="0.3">
      <c r="B114" s="17" t="str">
        <f>IF(Table1323[[#This Row],[Space Type]]="","","L-"&amp;ROW(108:108))</f>
        <v/>
      </c>
      <c r="C114" s="206"/>
      <c r="D114" s="207"/>
      <c r="E114" s="207"/>
      <c r="F114" s="207"/>
      <c r="G114" s="208" t="str">
        <f>IFERROR(IF(Table1323[[#This Row],[No]]="","",IF(Table1323[[#This Row],[Space Type]]="","select Space Type",INDEX(Table5[Hours],MATCH(Table1323[[#This Row],[Space Type]],Table5[Space Type],0)))),"")</f>
        <v/>
      </c>
      <c r="H114" s="207"/>
      <c r="I114" s="207"/>
      <c r="J114" s="613" t="str">
        <f>IFERROR(INDEX(Table1[Integrated Controls Capable],MATCH(Table1323[[#This Row],[Rebate Category]],Table1[BC Hydro Rebate Category],0)),"")</f>
        <v/>
      </c>
      <c r="K114" s="207"/>
      <c r="L114" s="572" t="str" cm="1">
        <f t="array" ref="L114">IFERROR(INDEX(Table1[Rebate],MATCH(Table1323[[#This Row],[Rebate Category]],Table1[BC Hydro Rebate Category],0))+IF(AND(Table1323[[#This Row],[Integrated Controls Capable]],Table1323[[#This Row],[Fixture Integrated Occupancy/Daylight Harvesting Sensors?]]="Yes"),Table6[],0),"")</f>
        <v/>
      </c>
      <c r="M114" s="574" t="str">
        <f>IFERROR(IF(AND(Table1323[[#This Row],[Integrated Controls Capable]],Table1323[[#This Row],[Fixture Integrated Occupancy/Daylight Harvesting Sensors?]]="Yes"),"per integrated luminaire", INDEX(Table1[Rebate Unit],MATCH(Table1323[[#This Row],[Rebate Category]],Table1[BC Hydro Rebate Category],0))),"")</f>
        <v/>
      </c>
      <c r="N114" s="207"/>
      <c r="O114" s="207"/>
      <c r="P114" s="206"/>
      <c r="Q114" s="209">
        <f>IFERROR(Table1323[[#This Row],[Rebate per luminaire, ($)]]*Table1323[[#This Row],[Quantity of luminaires or lamps]],0)</f>
        <v>0</v>
      </c>
      <c r="R11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14" s="211" t="str">
        <f>IFERROR(IF(Table1323[[#This Row],[Quantity of luminaires or lamps]]="","",IF(Table1323[[#This Row],[Controls Rebate]]="",0,Table1323[[#This Row],[Controls Rebate]])+Table1323[[#This Row],[Lighting Rebate]]),"")</f>
        <v/>
      </c>
      <c r="T11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14" s="213">
        <f>IFERROR(Table1323[[#This Row],[Rebate kW Savings]]*Table1323[[#This Row],[Annual hours from space type]],0)</f>
        <v>0</v>
      </c>
      <c r="V11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14" s="213">
        <f>Table1323[[#This Row],[Rebate kWh savings]]+Table1323[[#This Row],[Controls Rebate kWh Savings]]</f>
        <v>0</v>
      </c>
      <c r="X114" s="214" t="str">
        <f>IFERROR(IF(Table1323[[#This Row],[Quantity of luminaires or lamps]]="","",Table1323[[#This Row],[Rebate kW Savings]]),0)</f>
        <v/>
      </c>
      <c r="Y114" s="215" t="str">
        <f>IFERROR(IF(Table1323[[#This Row],[Quantity of luminaires or lamps]]="","",Table1323[[#This Row],[Total Lighting Rebate Energy Savings]]),0)</f>
        <v/>
      </c>
      <c r="Z114" s="207"/>
      <c r="AA114" s="18" t="str">
        <f>IF(Table1323[[#This Row],[Selected for Implementation]]="Yes",IF(Table1323[[#This Row],[No]]="","",(CONCATENATE("Light_"&amp;Table1323[[#This Row],[Rebate Category]]&amp;Table1323[[#This Row],[LED lamp/luminaire retrofit part '#]]))),"")</f>
        <v/>
      </c>
      <c r="AB114" s="20" t="str" cm="1">
        <f t="array" ref="AB114">IFERROR(IF(Table1323[[#This Row],[Annual hours from space type]]&gt;=Table14[],Table1323[[#This Row],[Demand Savings, kW]],0),0)</f>
        <v/>
      </c>
      <c r="AC114" s="19" t="str">
        <f>IFERROR(INDEX(Table1[BC Hydro xRM ECM],MATCH(Table1323[[#This Row],[Rebate Category]],Table1[BC Hydro Rebate Category],0)),"")</f>
        <v/>
      </c>
      <c r="AD114" s="18">
        <f>IF(Table1323[[#This Row],[Selected for Implementation]]="Yes",1,0)</f>
        <v>0</v>
      </c>
      <c r="AE114" s="18" t="e">
        <f>Table1323[[#This Row],[Implement]]*Table1323[[#This Row],[Demand Savings, kW]]</f>
        <v>#VALUE!</v>
      </c>
      <c r="AF114" s="18" t="e">
        <f>Table1323[[#This Row],[Implement]]*Table1323[[#This Row],[BCH Peak kW]]</f>
        <v>#VALUE!</v>
      </c>
      <c r="AG114" s="18">
        <f>Table1323[[#This Row],[Implement]]*Table1323[[#This Row],[Rebate kWh savings]]</f>
        <v>0</v>
      </c>
      <c r="AH114" s="18">
        <f>Table1323[[#This Row],[Implement]]*Table1323[[#This Row],[Controls Rebate kWh Savings]]</f>
        <v>0</v>
      </c>
      <c r="AI114" s="233">
        <f>Table1323[[#This Row],[Implement]]*Table1323[[#This Row],[Controls Rebate]]</f>
        <v>0</v>
      </c>
      <c r="AJ114" s="569">
        <f>IF(Table1323[[#This Row],[iControls Incentives]]&gt;0,Table1323[[#This Row],[Number of  sensors]],0)</f>
        <v>0</v>
      </c>
      <c r="AK114" s="233">
        <f>Table1323[[#This Row],[Implement]]*Table1323[[#This Row],[Lighting Rebate]]</f>
        <v>0</v>
      </c>
    </row>
    <row r="115" spans="2:37" ht="32.15" customHeight="1" x14ac:dyDescent="0.3">
      <c r="B115" s="17" t="str">
        <f>IF(Table1323[[#This Row],[Space Type]]="","","L-"&amp;ROW(109:109))</f>
        <v/>
      </c>
      <c r="C115" s="206"/>
      <c r="D115" s="207"/>
      <c r="E115" s="207"/>
      <c r="F115" s="207"/>
      <c r="G115" s="208" t="str">
        <f>IFERROR(IF(Table1323[[#This Row],[No]]="","",IF(Table1323[[#This Row],[Space Type]]="","select Space Type",INDEX(Table5[Hours],MATCH(Table1323[[#This Row],[Space Type]],Table5[Space Type],0)))),"")</f>
        <v/>
      </c>
      <c r="H115" s="207"/>
      <c r="I115" s="207"/>
      <c r="J115" s="613" t="str">
        <f>IFERROR(INDEX(Table1[Integrated Controls Capable],MATCH(Table1323[[#This Row],[Rebate Category]],Table1[BC Hydro Rebate Category],0)),"")</f>
        <v/>
      </c>
      <c r="K115" s="207"/>
      <c r="L115" s="572" t="str" cm="1">
        <f t="array" ref="L115">IFERROR(INDEX(Table1[Rebate],MATCH(Table1323[[#This Row],[Rebate Category]],Table1[BC Hydro Rebate Category],0))+IF(AND(Table1323[[#This Row],[Integrated Controls Capable]],Table1323[[#This Row],[Fixture Integrated Occupancy/Daylight Harvesting Sensors?]]="Yes"),Table6[],0),"")</f>
        <v/>
      </c>
      <c r="M115" s="574" t="str">
        <f>IFERROR(IF(AND(Table1323[[#This Row],[Integrated Controls Capable]],Table1323[[#This Row],[Fixture Integrated Occupancy/Daylight Harvesting Sensors?]]="Yes"),"per integrated luminaire", INDEX(Table1[Rebate Unit],MATCH(Table1323[[#This Row],[Rebate Category]],Table1[BC Hydro Rebate Category],0))),"")</f>
        <v/>
      </c>
      <c r="N115" s="207"/>
      <c r="O115" s="207"/>
      <c r="P115" s="206"/>
      <c r="Q115" s="209">
        <f>IFERROR(Table1323[[#This Row],[Rebate per luminaire, ($)]]*Table1323[[#This Row],[Quantity of luminaires or lamps]],0)</f>
        <v>0</v>
      </c>
      <c r="R11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15" s="211" t="str">
        <f>IFERROR(IF(Table1323[[#This Row],[Quantity of luminaires or lamps]]="","",IF(Table1323[[#This Row],[Controls Rebate]]="",0,Table1323[[#This Row],[Controls Rebate]])+Table1323[[#This Row],[Lighting Rebate]]),"")</f>
        <v/>
      </c>
      <c r="T11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15" s="213">
        <f>IFERROR(Table1323[[#This Row],[Rebate kW Savings]]*Table1323[[#This Row],[Annual hours from space type]],0)</f>
        <v>0</v>
      </c>
      <c r="V11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15" s="213">
        <f>Table1323[[#This Row],[Rebate kWh savings]]+Table1323[[#This Row],[Controls Rebate kWh Savings]]</f>
        <v>0</v>
      </c>
      <c r="X115" s="214" t="str">
        <f>IFERROR(IF(Table1323[[#This Row],[Quantity of luminaires or lamps]]="","",Table1323[[#This Row],[Rebate kW Savings]]),0)</f>
        <v/>
      </c>
      <c r="Y115" s="215" t="str">
        <f>IFERROR(IF(Table1323[[#This Row],[Quantity of luminaires or lamps]]="","",Table1323[[#This Row],[Total Lighting Rebate Energy Savings]]),0)</f>
        <v/>
      </c>
      <c r="Z115" s="207"/>
      <c r="AA115" s="18" t="str">
        <f>IF(Table1323[[#This Row],[Selected for Implementation]]="Yes",IF(Table1323[[#This Row],[No]]="","",(CONCATENATE("Light_"&amp;Table1323[[#This Row],[Rebate Category]]&amp;Table1323[[#This Row],[LED lamp/luminaire retrofit part '#]]))),"")</f>
        <v/>
      </c>
      <c r="AB115" s="20" t="str" cm="1">
        <f t="array" ref="AB115">IFERROR(IF(Table1323[[#This Row],[Annual hours from space type]]&gt;=Table14[],Table1323[[#This Row],[Demand Savings, kW]],0),0)</f>
        <v/>
      </c>
      <c r="AC115" s="19" t="str">
        <f>IFERROR(INDEX(Table1[BC Hydro xRM ECM],MATCH(Table1323[[#This Row],[Rebate Category]],Table1[BC Hydro Rebate Category],0)),"")</f>
        <v/>
      </c>
      <c r="AD115" s="18">
        <f>IF(Table1323[[#This Row],[Selected for Implementation]]="Yes",1,0)</f>
        <v>0</v>
      </c>
      <c r="AE115" s="18" t="e">
        <f>Table1323[[#This Row],[Implement]]*Table1323[[#This Row],[Demand Savings, kW]]</f>
        <v>#VALUE!</v>
      </c>
      <c r="AF115" s="18" t="e">
        <f>Table1323[[#This Row],[Implement]]*Table1323[[#This Row],[BCH Peak kW]]</f>
        <v>#VALUE!</v>
      </c>
      <c r="AG115" s="18">
        <f>Table1323[[#This Row],[Implement]]*Table1323[[#This Row],[Rebate kWh savings]]</f>
        <v>0</v>
      </c>
      <c r="AH115" s="18">
        <f>Table1323[[#This Row],[Implement]]*Table1323[[#This Row],[Controls Rebate kWh Savings]]</f>
        <v>0</v>
      </c>
      <c r="AI115" s="233">
        <f>Table1323[[#This Row],[Implement]]*Table1323[[#This Row],[Controls Rebate]]</f>
        <v>0</v>
      </c>
      <c r="AJ115" s="569">
        <f>IF(Table1323[[#This Row],[iControls Incentives]]&gt;0,Table1323[[#This Row],[Number of  sensors]],0)</f>
        <v>0</v>
      </c>
      <c r="AK115" s="233">
        <f>Table1323[[#This Row],[Implement]]*Table1323[[#This Row],[Lighting Rebate]]</f>
        <v>0</v>
      </c>
    </row>
    <row r="116" spans="2:37" ht="32.15" customHeight="1" x14ac:dyDescent="0.3">
      <c r="B116" s="17" t="str">
        <f>IF(Table1323[[#This Row],[Space Type]]="","","L-"&amp;ROW(110:110))</f>
        <v/>
      </c>
      <c r="C116" s="206"/>
      <c r="D116" s="207"/>
      <c r="E116" s="207"/>
      <c r="F116" s="207"/>
      <c r="G116" s="208" t="str">
        <f>IFERROR(IF(Table1323[[#This Row],[No]]="","",IF(Table1323[[#This Row],[Space Type]]="","select Space Type",INDEX(Table5[Hours],MATCH(Table1323[[#This Row],[Space Type]],Table5[Space Type],0)))),"")</f>
        <v/>
      </c>
      <c r="H116" s="207"/>
      <c r="I116" s="207"/>
      <c r="J116" s="613" t="str">
        <f>IFERROR(INDEX(Table1[Integrated Controls Capable],MATCH(Table1323[[#This Row],[Rebate Category]],Table1[BC Hydro Rebate Category],0)),"")</f>
        <v/>
      </c>
      <c r="K116" s="207"/>
      <c r="L116" s="572" t="str" cm="1">
        <f t="array" ref="L116">IFERROR(INDEX(Table1[Rebate],MATCH(Table1323[[#This Row],[Rebate Category]],Table1[BC Hydro Rebate Category],0))+IF(AND(Table1323[[#This Row],[Integrated Controls Capable]],Table1323[[#This Row],[Fixture Integrated Occupancy/Daylight Harvesting Sensors?]]="Yes"),Table6[],0),"")</f>
        <v/>
      </c>
      <c r="M116" s="574" t="str">
        <f>IFERROR(IF(AND(Table1323[[#This Row],[Integrated Controls Capable]],Table1323[[#This Row],[Fixture Integrated Occupancy/Daylight Harvesting Sensors?]]="Yes"),"per integrated luminaire", INDEX(Table1[Rebate Unit],MATCH(Table1323[[#This Row],[Rebate Category]],Table1[BC Hydro Rebate Category],0))),"")</f>
        <v/>
      </c>
      <c r="N116" s="207"/>
      <c r="O116" s="207"/>
      <c r="P116" s="206"/>
      <c r="Q116" s="209">
        <f>IFERROR(Table1323[[#This Row],[Rebate per luminaire, ($)]]*Table1323[[#This Row],[Quantity of luminaires or lamps]],0)</f>
        <v>0</v>
      </c>
      <c r="R11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16" s="211" t="str">
        <f>IFERROR(IF(Table1323[[#This Row],[Quantity of luminaires or lamps]]="","",IF(Table1323[[#This Row],[Controls Rebate]]="",0,Table1323[[#This Row],[Controls Rebate]])+Table1323[[#This Row],[Lighting Rebate]]),"")</f>
        <v/>
      </c>
      <c r="T11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16" s="213">
        <f>IFERROR(Table1323[[#This Row],[Rebate kW Savings]]*Table1323[[#This Row],[Annual hours from space type]],0)</f>
        <v>0</v>
      </c>
      <c r="V11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16" s="213">
        <f>Table1323[[#This Row],[Rebate kWh savings]]+Table1323[[#This Row],[Controls Rebate kWh Savings]]</f>
        <v>0</v>
      </c>
      <c r="X116" s="214" t="str">
        <f>IFERROR(IF(Table1323[[#This Row],[Quantity of luminaires or lamps]]="","",Table1323[[#This Row],[Rebate kW Savings]]),0)</f>
        <v/>
      </c>
      <c r="Y116" s="215" t="str">
        <f>IFERROR(IF(Table1323[[#This Row],[Quantity of luminaires or lamps]]="","",Table1323[[#This Row],[Total Lighting Rebate Energy Savings]]),0)</f>
        <v/>
      </c>
      <c r="Z116" s="207"/>
      <c r="AA116" s="18" t="str">
        <f>IF(Table1323[[#This Row],[Selected for Implementation]]="Yes",IF(Table1323[[#This Row],[No]]="","",(CONCATENATE("Light_"&amp;Table1323[[#This Row],[Rebate Category]]&amp;Table1323[[#This Row],[LED lamp/luminaire retrofit part '#]]))),"")</f>
        <v/>
      </c>
      <c r="AB116" s="20" t="str" cm="1">
        <f t="array" ref="AB116">IFERROR(IF(Table1323[[#This Row],[Annual hours from space type]]&gt;=Table14[],Table1323[[#This Row],[Demand Savings, kW]],0),0)</f>
        <v/>
      </c>
      <c r="AC116" s="19" t="str">
        <f>IFERROR(INDEX(Table1[BC Hydro xRM ECM],MATCH(Table1323[[#This Row],[Rebate Category]],Table1[BC Hydro Rebate Category],0)),"")</f>
        <v/>
      </c>
      <c r="AD116" s="18">
        <f>IF(Table1323[[#This Row],[Selected for Implementation]]="Yes",1,0)</f>
        <v>0</v>
      </c>
      <c r="AE116" s="18" t="e">
        <f>Table1323[[#This Row],[Implement]]*Table1323[[#This Row],[Demand Savings, kW]]</f>
        <v>#VALUE!</v>
      </c>
      <c r="AF116" s="18" t="e">
        <f>Table1323[[#This Row],[Implement]]*Table1323[[#This Row],[BCH Peak kW]]</f>
        <v>#VALUE!</v>
      </c>
      <c r="AG116" s="18">
        <f>Table1323[[#This Row],[Implement]]*Table1323[[#This Row],[Rebate kWh savings]]</f>
        <v>0</v>
      </c>
      <c r="AH116" s="18">
        <f>Table1323[[#This Row],[Implement]]*Table1323[[#This Row],[Controls Rebate kWh Savings]]</f>
        <v>0</v>
      </c>
      <c r="AI116" s="233">
        <f>Table1323[[#This Row],[Implement]]*Table1323[[#This Row],[Controls Rebate]]</f>
        <v>0</v>
      </c>
      <c r="AJ116" s="569">
        <f>IF(Table1323[[#This Row],[iControls Incentives]]&gt;0,Table1323[[#This Row],[Number of  sensors]],0)</f>
        <v>0</v>
      </c>
      <c r="AK116" s="233">
        <f>Table1323[[#This Row],[Implement]]*Table1323[[#This Row],[Lighting Rebate]]</f>
        <v>0</v>
      </c>
    </row>
    <row r="117" spans="2:37" ht="32.15" customHeight="1" x14ac:dyDescent="0.3">
      <c r="B117" s="17" t="str">
        <f>IF(Table1323[[#This Row],[Space Type]]="","","L-"&amp;ROW(111:111))</f>
        <v/>
      </c>
      <c r="C117" s="206"/>
      <c r="D117" s="207"/>
      <c r="E117" s="207"/>
      <c r="F117" s="207"/>
      <c r="G117" s="208" t="str">
        <f>IFERROR(IF(Table1323[[#This Row],[No]]="","",IF(Table1323[[#This Row],[Space Type]]="","select Space Type",INDEX(Table5[Hours],MATCH(Table1323[[#This Row],[Space Type]],Table5[Space Type],0)))),"")</f>
        <v/>
      </c>
      <c r="H117" s="207"/>
      <c r="I117" s="207"/>
      <c r="J117" s="613" t="str">
        <f>IFERROR(INDEX(Table1[Integrated Controls Capable],MATCH(Table1323[[#This Row],[Rebate Category]],Table1[BC Hydro Rebate Category],0)),"")</f>
        <v/>
      </c>
      <c r="K117" s="207"/>
      <c r="L117" s="572" t="str" cm="1">
        <f t="array" ref="L117">IFERROR(INDEX(Table1[Rebate],MATCH(Table1323[[#This Row],[Rebate Category]],Table1[BC Hydro Rebate Category],0))+IF(AND(Table1323[[#This Row],[Integrated Controls Capable]],Table1323[[#This Row],[Fixture Integrated Occupancy/Daylight Harvesting Sensors?]]="Yes"),Table6[],0),"")</f>
        <v/>
      </c>
      <c r="M117" s="574" t="str">
        <f>IFERROR(IF(AND(Table1323[[#This Row],[Integrated Controls Capable]],Table1323[[#This Row],[Fixture Integrated Occupancy/Daylight Harvesting Sensors?]]="Yes"),"per integrated luminaire", INDEX(Table1[Rebate Unit],MATCH(Table1323[[#This Row],[Rebate Category]],Table1[BC Hydro Rebate Category],0))),"")</f>
        <v/>
      </c>
      <c r="N117" s="207"/>
      <c r="O117" s="207"/>
      <c r="P117" s="206"/>
      <c r="Q117" s="209">
        <f>IFERROR(Table1323[[#This Row],[Rebate per luminaire, ($)]]*Table1323[[#This Row],[Quantity of luminaires or lamps]],0)</f>
        <v>0</v>
      </c>
      <c r="R11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17" s="211" t="str">
        <f>IFERROR(IF(Table1323[[#This Row],[Quantity of luminaires or lamps]]="","",IF(Table1323[[#This Row],[Controls Rebate]]="",0,Table1323[[#This Row],[Controls Rebate]])+Table1323[[#This Row],[Lighting Rebate]]),"")</f>
        <v/>
      </c>
      <c r="T11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17" s="213">
        <f>IFERROR(Table1323[[#This Row],[Rebate kW Savings]]*Table1323[[#This Row],[Annual hours from space type]],0)</f>
        <v>0</v>
      </c>
      <c r="V11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17" s="213">
        <f>Table1323[[#This Row],[Rebate kWh savings]]+Table1323[[#This Row],[Controls Rebate kWh Savings]]</f>
        <v>0</v>
      </c>
      <c r="X117" s="214" t="str">
        <f>IFERROR(IF(Table1323[[#This Row],[Quantity of luminaires or lamps]]="","",Table1323[[#This Row],[Rebate kW Savings]]),0)</f>
        <v/>
      </c>
      <c r="Y117" s="215" t="str">
        <f>IFERROR(IF(Table1323[[#This Row],[Quantity of luminaires or lamps]]="","",Table1323[[#This Row],[Total Lighting Rebate Energy Savings]]),0)</f>
        <v/>
      </c>
      <c r="Z117" s="207"/>
      <c r="AA117" s="18" t="str">
        <f>IF(Table1323[[#This Row],[Selected for Implementation]]="Yes",IF(Table1323[[#This Row],[No]]="","",(CONCATENATE("Light_"&amp;Table1323[[#This Row],[Rebate Category]]&amp;Table1323[[#This Row],[LED lamp/luminaire retrofit part '#]]))),"")</f>
        <v/>
      </c>
      <c r="AB117" s="20" t="str" cm="1">
        <f t="array" ref="AB117">IFERROR(IF(Table1323[[#This Row],[Annual hours from space type]]&gt;=Table14[],Table1323[[#This Row],[Demand Savings, kW]],0),0)</f>
        <v/>
      </c>
      <c r="AC117" s="19" t="str">
        <f>IFERROR(INDEX(Table1[BC Hydro xRM ECM],MATCH(Table1323[[#This Row],[Rebate Category]],Table1[BC Hydro Rebate Category],0)),"")</f>
        <v/>
      </c>
      <c r="AD117" s="18">
        <f>IF(Table1323[[#This Row],[Selected for Implementation]]="Yes",1,0)</f>
        <v>0</v>
      </c>
      <c r="AE117" s="18" t="e">
        <f>Table1323[[#This Row],[Implement]]*Table1323[[#This Row],[Demand Savings, kW]]</f>
        <v>#VALUE!</v>
      </c>
      <c r="AF117" s="18" t="e">
        <f>Table1323[[#This Row],[Implement]]*Table1323[[#This Row],[BCH Peak kW]]</f>
        <v>#VALUE!</v>
      </c>
      <c r="AG117" s="18">
        <f>Table1323[[#This Row],[Implement]]*Table1323[[#This Row],[Rebate kWh savings]]</f>
        <v>0</v>
      </c>
      <c r="AH117" s="18">
        <f>Table1323[[#This Row],[Implement]]*Table1323[[#This Row],[Controls Rebate kWh Savings]]</f>
        <v>0</v>
      </c>
      <c r="AI117" s="233">
        <f>Table1323[[#This Row],[Implement]]*Table1323[[#This Row],[Controls Rebate]]</f>
        <v>0</v>
      </c>
      <c r="AJ117" s="569">
        <f>IF(Table1323[[#This Row],[iControls Incentives]]&gt;0,Table1323[[#This Row],[Number of  sensors]],0)</f>
        <v>0</v>
      </c>
      <c r="AK117" s="233">
        <f>Table1323[[#This Row],[Implement]]*Table1323[[#This Row],[Lighting Rebate]]</f>
        <v>0</v>
      </c>
    </row>
    <row r="118" spans="2:37" ht="32.15" customHeight="1" x14ac:dyDescent="0.3">
      <c r="B118" s="17" t="str">
        <f>IF(Table1323[[#This Row],[Space Type]]="","","L-"&amp;ROW(112:112))</f>
        <v/>
      </c>
      <c r="C118" s="206"/>
      <c r="D118" s="207"/>
      <c r="E118" s="207"/>
      <c r="F118" s="207"/>
      <c r="G118" s="208" t="str">
        <f>IFERROR(IF(Table1323[[#This Row],[No]]="","",IF(Table1323[[#This Row],[Space Type]]="","select Space Type",INDEX(Table5[Hours],MATCH(Table1323[[#This Row],[Space Type]],Table5[Space Type],0)))),"")</f>
        <v/>
      </c>
      <c r="H118" s="207"/>
      <c r="I118" s="207"/>
      <c r="J118" s="613" t="str">
        <f>IFERROR(INDEX(Table1[Integrated Controls Capable],MATCH(Table1323[[#This Row],[Rebate Category]],Table1[BC Hydro Rebate Category],0)),"")</f>
        <v/>
      </c>
      <c r="K118" s="207"/>
      <c r="L118" s="572" t="str" cm="1">
        <f t="array" ref="L118">IFERROR(INDEX(Table1[Rebate],MATCH(Table1323[[#This Row],[Rebate Category]],Table1[BC Hydro Rebate Category],0))+IF(AND(Table1323[[#This Row],[Integrated Controls Capable]],Table1323[[#This Row],[Fixture Integrated Occupancy/Daylight Harvesting Sensors?]]="Yes"),Table6[],0),"")</f>
        <v/>
      </c>
      <c r="M118" s="574" t="str">
        <f>IFERROR(IF(AND(Table1323[[#This Row],[Integrated Controls Capable]],Table1323[[#This Row],[Fixture Integrated Occupancy/Daylight Harvesting Sensors?]]="Yes"),"per integrated luminaire", INDEX(Table1[Rebate Unit],MATCH(Table1323[[#This Row],[Rebate Category]],Table1[BC Hydro Rebate Category],0))),"")</f>
        <v/>
      </c>
      <c r="N118" s="207"/>
      <c r="O118" s="207"/>
      <c r="P118" s="206"/>
      <c r="Q118" s="209">
        <f>IFERROR(Table1323[[#This Row],[Rebate per luminaire, ($)]]*Table1323[[#This Row],[Quantity of luminaires or lamps]],0)</f>
        <v>0</v>
      </c>
      <c r="R11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18" s="211" t="str">
        <f>IFERROR(IF(Table1323[[#This Row],[Quantity of luminaires or lamps]]="","",IF(Table1323[[#This Row],[Controls Rebate]]="",0,Table1323[[#This Row],[Controls Rebate]])+Table1323[[#This Row],[Lighting Rebate]]),"")</f>
        <v/>
      </c>
      <c r="T11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18" s="213">
        <f>IFERROR(Table1323[[#This Row],[Rebate kW Savings]]*Table1323[[#This Row],[Annual hours from space type]],0)</f>
        <v>0</v>
      </c>
      <c r="V11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18" s="213">
        <f>Table1323[[#This Row],[Rebate kWh savings]]+Table1323[[#This Row],[Controls Rebate kWh Savings]]</f>
        <v>0</v>
      </c>
      <c r="X118" s="214" t="str">
        <f>IFERROR(IF(Table1323[[#This Row],[Quantity of luminaires or lamps]]="","",Table1323[[#This Row],[Rebate kW Savings]]),0)</f>
        <v/>
      </c>
      <c r="Y118" s="215" t="str">
        <f>IFERROR(IF(Table1323[[#This Row],[Quantity of luminaires or lamps]]="","",Table1323[[#This Row],[Total Lighting Rebate Energy Savings]]),0)</f>
        <v/>
      </c>
      <c r="Z118" s="207"/>
      <c r="AA118" s="18" t="str">
        <f>IF(Table1323[[#This Row],[Selected for Implementation]]="Yes",IF(Table1323[[#This Row],[No]]="","",(CONCATENATE("Light_"&amp;Table1323[[#This Row],[Rebate Category]]&amp;Table1323[[#This Row],[LED lamp/luminaire retrofit part '#]]))),"")</f>
        <v/>
      </c>
      <c r="AB118" s="20" t="str" cm="1">
        <f t="array" ref="AB118">IFERROR(IF(Table1323[[#This Row],[Annual hours from space type]]&gt;=Table14[],Table1323[[#This Row],[Demand Savings, kW]],0),0)</f>
        <v/>
      </c>
      <c r="AC118" s="19" t="str">
        <f>IFERROR(INDEX(Table1[BC Hydro xRM ECM],MATCH(Table1323[[#This Row],[Rebate Category]],Table1[BC Hydro Rebate Category],0)),"")</f>
        <v/>
      </c>
      <c r="AD118" s="18">
        <f>IF(Table1323[[#This Row],[Selected for Implementation]]="Yes",1,0)</f>
        <v>0</v>
      </c>
      <c r="AE118" s="18" t="e">
        <f>Table1323[[#This Row],[Implement]]*Table1323[[#This Row],[Demand Savings, kW]]</f>
        <v>#VALUE!</v>
      </c>
      <c r="AF118" s="18" t="e">
        <f>Table1323[[#This Row],[Implement]]*Table1323[[#This Row],[BCH Peak kW]]</f>
        <v>#VALUE!</v>
      </c>
      <c r="AG118" s="18">
        <f>Table1323[[#This Row],[Implement]]*Table1323[[#This Row],[Rebate kWh savings]]</f>
        <v>0</v>
      </c>
      <c r="AH118" s="18">
        <f>Table1323[[#This Row],[Implement]]*Table1323[[#This Row],[Controls Rebate kWh Savings]]</f>
        <v>0</v>
      </c>
      <c r="AI118" s="233">
        <f>Table1323[[#This Row],[Implement]]*Table1323[[#This Row],[Controls Rebate]]</f>
        <v>0</v>
      </c>
      <c r="AJ118" s="569">
        <f>IF(Table1323[[#This Row],[iControls Incentives]]&gt;0,Table1323[[#This Row],[Number of  sensors]],0)</f>
        <v>0</v>
      </c>
      <c r="AK118" s="233">
        <f>Table1323[[#This Row],[Implement]]*Table1323[[#This Row],[Lighting Rebate]]</f>
        <v>0</v>
      </c>
    </row>
    <row r="119" spans="2:37" ht="32.15" customHeight="1" x14ac:dyDescent="0.3">
      <c r="B119" s="17" t="str">
        <f>IF(Table1323[[#This Row],[Space Type]]="","","L-"&amp;ROW(113:113))</f>
        <v/>
      </c>
      <c r="C119" s="206"/>
      <c r="D119" s="207"/>
      <c r="E119" s="207"/>
      <c r="F119" s="207"/>
      <c r="G119" s="208" t="str">
        <f>IFERROR(IF(Table1323[[#This Row],[No]]="","",IF(Table1323[[#This Row],[Space Type]]="","select Space Type",INDEX(Table5[Hours],MATCH(Table1323[[#This Row],[Space Type]],Table5[Space Type],0)))),"")</f>
        <v/>
      </c>
      <c r="H119" s="207"/>
      <c r="I119" s="207"/>
      <c r="J119" s="613" t="str">
        <f>IFERROR(INDEX(Table1[Integrated Controls Capable],MATCH(Table1323[[#This Row],[Rebate Category]],Table1[BC Hydro Rebate Category],0)),"")</f>
        <v/>
      </c>
      <c r="K119" s="207"/>
      <c r="L119" s="572" t="str" cm="1">
        <f t="array" ref="L119">IFERROR(INDEX(Table1[Rebate],MATCH(Table1323[[#This Row],[Rebate Category]],Table1[BC Hydro Rebate Category],0))+IF(AND(Table1323[[#This Row],[Integrated Controls Capable]],Table1323[[#This Row],[Fixture Integrated Occupancy/Daylight Harvesting Sensors?]]="Yes"),Table6[],0),"")</f>
        <v/>
      </c>
      <c r="M119" s="574" t="str">
        <f>IFERROR(IF(AND(Table1323[[#This Row],[Integrated Controls Capable]],Table1323[[#This Row],[Fixture Integrated Occupancy/Daylight Harvesting Sensors?]]="Yes"),"per integrated luminaire", INDEX(Table1[Rebate Unit],MATCH(Table1323[[#This Row],[Rebate Category]],Table1[BC Hydro Rebate Category],0))),"")</f>
        <v/>
      </c>
      <c r="N119" s="207"/>
      <c r="O119" s="207"/>
      <c r="P119" s="206"/>
      <c r="Q119" s="209">
        <f>IFERROR(Table1323[[#This Row],[Rebate per luminaire, ($)]]*Table1323[[#This Row],[Quantity of luminaires or lamps]],0)</f>
        <v>0</v>
      </c>
      <c r="R11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19" s="211" t="str">
        <f>IFERROR(IF(Table1323[[#This Row],[Quantity of luminaires or lamps]]="","",IF(Table1323[[#This Row],[Controls Rebate]]="",0,Table1323[[#This Row],[Controls Rebate]])+Table1323[[#This Row],[Lighting Rebate]]),"")</f>
        <v/>
      </c>
      <c r="T11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19" s="213">
        <f>IFERROR(Table1323[[#This Row],[Rebate kW Savings]]*Table1323[[#This Row],[Annual hours from space type]],0)</f>
        <v>0</v>
      </c>
      <c r="V11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19" s="213">
        <f>Table1323[[#This Row],[Rebate kWh savings]]+Table1323[[#This Row],[Controls Rebate kWh Savings]]</f>
        <v>0</v>
      </c>
      <c r="X119" s="214" t="str">
        <f>IFERROR(IF(Table1323[[#This Row],[Quantity of luminaires or lamps]]="","",Table1323[[#This Row],[Rebate kW Savings]]),0)</f>
        <v/>
      </c>
      <c r="Y119" s="215" t="str">
        <f>IFERROR(IF(Table1323[[#This Row],[Quantity of luminaires or lamps]]="","",Table1323[[#This Row],[Total Lighting Rebate Energy Savings]]),0)</f>
        <v/>
      </c>
      <c r="Z119" s="207"/>
      <c r="AA119" s="18" t="str">
        <f>IF(Table1323[[#This Row],[Selected for Implementation]]="Yes",IF(Table1323[[#This Row],[No]]="","",(CONCATENATE("Light_"&amp;Table1323[[#This Row],[Rebate Category]]&amp;Table1323[[#This Row],[LED lamp/luminaire retrofit part '#]]))),"")</f>
        <v/>
      </c>
      <c r="AB119" s="20" t="str" cm="1">
        <f t="array" ref="AB119">IFERROR(IF(Table1323[[#This Row],[Annual hours from space type]]&gt;=Table14[],Table1323[[#This Row],[Demand Savings, kW]],0),0)</f>
        <v/>
      </c>
      <c r="AC119" s="19" t="str">
        <f>IFERROR(INDEX(Table1[BC Hydro xRM ECM],MATCH(Table1323[[#This Row],[Rebate Category]],Table1[BC Hydro Rebate Category],0)),"")</f>
        <v/>
      </c>
      <c r="AD119" s="18">
        <f>IF(Table1323[[#This Row],[Selected for Implementation]]="Yes",1,0)</f>
        <v>0</v>
      </c>
      <c r="AE119" s="18" t="e">
        <f>Table1323[[#This Row],[Implement]]*Table1323[[#This Row],[Demand Savings, kW]]</f>
        <v>#VALUE!</v>
      </c>
      <c r="AF119" s="18" t="e">
        <f>Table1323[[#This Row],[Implement]]*Table1323[[#This Row],[BCH Peak kW]]</f>
        <v>#VALUE!</v>
      </c>
      <c r="AG119" s="18">
        <f>Table1323[[#This Row],[Implement]]*Table1323[[#This Row],[Rebate kWh savings]]</f>
        <v>0</v>
      </c>
      <c r="AH119" s="18">
        <f>Table1323[[#This Row],[Implement]]*Table1323[[#This Row],[Controls Rebate kWh Savings]]</f>
        <v>0</v>
      </c>
      <c r="AI119" s="233">
        <f>Table1323[[#This Row],[Implement]]*Table1323[[#This Row],[Controls Rebate]]</f>
        <v>0</v>
      </c>
      <c r="AJ119" s="569">
        <f>IF(Table1323[[#This Row],[iControls Incentives]]&gt;0,Table1323[[#This Row],[Number of  sensors]],0)</f>
        <v>0</v>
      </c>
      <c r="AK119" s="233">
        <f>Table1323[[#This Row],[Implement]]*Table1323[[#This Row],[Lighting Rebate]]</f>
        <v>0</v>
      </c>
    </row>
    <row r="120" spans="2:37" ht="32.15" customHeight="1" x14ac:dyDescent="0.3">
      <c r="B120" s="17" t="str">
        <f>IF(Table1323[[#This Row],[Space Type]]="","","L-"&amp;ROW(114:114))</f>
        <v/>
      </c>
      <c r="C120" s="206"/>
      <c r="D120" s="207"/>
      <c r="E120" s="207"/>
      <c r="F120" s="207"/>
      <c r="G120" s="208" t="str">
        <f>IFERROR(IF(Table1323[[#This Row],[No]]="","",IF(Table1323[[#This Row],[Space Type]]="","select Space Type",INDEX(Table5[Hours],MATCH(Table1323[[#This Row],[Space Type]],Table5[Space Type],0)))),"")</f>
        <v/>
      </c>
      <c r="H120" s="207"/>
      <c r="I120" s="207"/>
      <c r="J120" s="613" t="str">
        <f>IFERROR(INDEX(Table1[Integrated Controls Capable],MATCH(Table1323[[#This Row],[Rebate Category]],Table1[BC Hydro Rebate Category],0)),"")</f>
        <v/>
      </c>
      <c r="K120" s="207"/>
      <c r="L120" s="572" t="str" cm="1">
        <f t="array" ref="L120">IFERROR(INDEX(Table1[Rebate],MATCH(Table1323[[#This Row],[Rebate Category]],Table1[BC Hydro Rebate Category],0))+IF(AND(Table1323[[#This Row],[Integrated Controls Capable]],Table1323[[#This Row],[Fixture Integrated Occupancy/Daylight Harvesting Sensors?]]="Yes"),Table6[],0),"")</f>
        <v/>
      </c>
      <c r="M120" s="574" t="str">
        <f>IFERROR(IF(AND(Table1323[[#This Row],[Integrated Controls Capable]],Table1323[[#This Row],[Fixture Integrated Occupancy/Daylight Harvesting Sensors?]]="Yes"),"per integrated luminaire", INDEX(Table1[Rebate Unit],MATCH(Table1323[[#This Row],[Rebate Category]],Table1[BC Hydro Rebate Category],0))),"")</f>
        <v/>
      </c>
      <c r="N120" s="207"/>
      <c r="O120" s="207"/>
      <c r="P120" s="206"/>
      <c r="Q120" s="209">
        <f>IFERROR(Table1323[[#This Row],[Rebate per luminaire, ($)]]*Table1323[[#This Row],[Quantity of luminaires or lamps]],0)</f>
        <v>0</v>
      </c>
      <c r="R12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20" s="211" t="str">
        <f>IFERROR(IF(Table1323[[#This Row],[Quantity of luminaires or lamps]]="","",IF(Table1323[[#This Row],[Controls Rebate]]="",0,Table1323[[#This Row],[Controls Rebate]])+Table1323[[#This Row],[Lighting Rebate]]),"")</f>
        <v/>
      </c>
      <c r="T12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20" s="213">
        <f>IFERROR(Table1323[[#This Row],[Rebate kW Savings]]*Table1323[[#This Row],[Annual hours from space type]],0)</f>
        <v>0</v>
      </c>
      <c r="V12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20" s="213">
        <f>Table1323[[#This Row],[Rebate kWh savings]]+Table1323[[#This Row],[Controls Rebate kWh Savings]]</f>
        <v>0</v>
      </c>
      <c r="X120" s="214" t="str">
        <f>IFERROR(IF(Table1323[[#This Row],[Quantity of luminaires or lamps]]="","",Table1323[[#This Row],[Rebate kW Savings]]),0)</f>
        <v/>
      </c>
      <c r="Y120" s="215" t="str">
        <f>IFERROR(IF(Table1323[[#This Row],[Quantity of luminaires or lamps]]="","",Table1323[[#This Row],[Total Lighting Rebate Energy Savings]]),0)</f>
        <v/>
      </c>
      <c r="Z120" s="207"/>
      <c r="AA120" s="18" t="str">
        <f>IF(Table1323[[#This Row],[Selected for Implementation]]="Yes",IF(Table1323[[#This Row],[No]]="","",(CONCATENATE("Light_"&amp;Table1323[[#This Row],[Rebate Category]]&amp;Table1323[[#This Row],[LED lamp/luminaire retrofit part '#]]))),"")</f>
        <v/>
      </c>
      <c r="AB120" s="20" t="str" cm="1">
        <f t="array" ref="AB120">IFERROR(IF(Table1323[[#This Row],[Annual hours from space type]]&gt;=Table14[],Table1323[[#This Row],[Demand Savings, kW]],0),0)</f>
        <v/>
      </c>
      <c r="AC120" s="19" t="str">
        <f>IFERROR(INDEX(Table1[BC Hydro xRM ECM],MATCH(Table1323[[#This Row],[Rebate Category]],Table1[BC Hydro Rebate Category],0)),"")</f>
        <v/>
      </c>
      <c r="AD120" s="18">
        <f>IF(Table1323[[#This Row],[Selected for Implementation]]="Yes",1,0)</f>
        <v>0</v>
      </c>
      <c r="AE120" s="18" t="e">
        <f>Table1323[[#This Row],[Implement]]*Table1323[[#This Row],[Demand Savings, kW]]</f>
        <v>#VALUE!</v>
      </c>
      <c r="AF120" s="18" t="e">
        <f>Table1323[[#This Row],[Implement]]*Table1323[[#This Row],[BCH Peak kW]]</f>
        <v>#VALUE!</v>
      </c>
      <c r="AG120" s="18">
        <f>Table1323[[#This Row],[Implement]]*Table1323[[#This Row],[Rebate kWh savings]]</f>
        <v>0</v>
      </c>
      <c r="AH120" s="18">
        <f>Table1323[[#This Row],[Implement]]*Table1323[[#This Row],[Controls Rebate kWh Savings]]</f>
        <v>0</v>
      </c>
      <c r="AI120" s="233">
        <f>Table1323[[#This Row],[Implement]]*Table1323[[#This Row],[Controls Rebate]]</f>
        <v>0</v>
      </c>
      <c r="AJ120" s="569">
        <f>IF(Table1323[[#This Row],[iControls Incentives]]&gt;0,Table1323[[#This Row],[Number of  sensors]],0)</f>
        <v>0</v>
      </c>
      <c r="AK120" s="233">
        <f>Table1323[[#This Row],[Implement]]*Table1323[[#This Row],[Lighting Rebate]]</f>
        <v>0</v>
      </c>
    </row>
    <row r="121" spans="2:37" ht="32.15" customHeight="1" x14ac:dyDescent="0.3">
      <c r="B121" s="17" t="str">
        <f>IF(Table1323[[#This Row],[Space Type]]="","","L-"&amp;ROW(115:115))</f>
        <v/>
      </c>
      <c r="C121" s="206"/>
      <c r="D121" s="207"/>
      <c r="E121" s="207"/>
      <c r="F121" s="207"/>
      <c r="G121" s="208" t="str">
        <f>IFERROR(IF(Table1323[[#This Row],[No]]="","",IF(Table1323[[#This Row],[Space Type]]="","select Space Type",INDEX(Table5[Hours],MATCH(Table1323[[#This Row],[Space Type]],Table5[Space Type],0)))),"")</f>
        <v/>
      </c>
      <c r="H121" s="207"/>
      <c r="I121" s="207"/>
      <c r="J121" s="613" t="str">
        <f>IFERROR(INDEX(Table1[Integrated Controls Capable],MATCH(Table1323[[#This Row],[Rebate Category]],Table1[BC Hydro Rebate Category],0)),"")</f>
        <v/>
      </c>
      <c r="K121" s="207"/>
      <c r="L121" s="572" t="str" cm="1">
        <f t="array" ref="L121">IFERROR(INDEX(Table1[Rebate],MATCH(Table1323[[#This Row],[Rebate Category]],Table1[BC Hydro Rebate Category],0))+IF(AND(Table1323[[#This Row],[Integrated Controls Capable]],Table1323[[#This Row],[Fixture Integrated Occupancy/Daylight Harvesting Sensors?]]="Yes"),Table6[],0),"")</f>
        <v/>
      </c>
      <c r="M121" s="574" t="str">
        <f>IFERROR(IF(AND(Table1323[[#This Row],[Integrated Controls Capable]],Table1323[[#This Row],[Fixture Integrated Occupancy/Daylight Harvesting Sensors?]]="Yes"),"per integrated luminaire", INDEX(Table1[Rebate Unit],MATCH(Table1323[[#This Row],[Rebate Category]],Table1[BC Hydro Rebate Category],0))),"")</f>
        <v/>
      </c>
      <c r="N121" s="207"/>
      <c r="O121" s="207"/>
      <c r="P121" s="206"/>
      <c r="Q121" s="209">
        <f>IFERROR(Table1323[[#This Row],[Rebate per luminaire, ($)]]*Table1323[[#This Row],[Quantity of luminaires or lamps]],0)</f>
        <v>0</v>
      </c>
      <c r="R12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21" s="211" t="str">
        <f>IFERROR(IF(Table1323[[#This Row],[Quantity of luminaires or lamps]]="","",IF(Table1323[[#This Row],[Controls Rebate]]="",0,Table1323[[#This Row],[Controls Rebate]])+Table1323[[#This Row],[Lighting Rebate]]),"")</f>
        <v/>
      </c>
      <c r="T12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21" s="213">
        <f>IFERROR(Table1323[[#This Row],[Rebate kW Savings]]*Table1323[[#This Row],[Annual hours from space type]],0)</f>
        <v>0</v>
      </c>
      <c r="V12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21" s="213">
        <f>Table1323[[#This Row],[Rebate kWh savings]]+Table1323[[#This Row],[Controls Rebate kWh Savings]]</f>
        <v>0</v>
      </c>
      <c r="X121" s="214" t="str">
        <f>IFERROR(IF(Table1323[[#This Row],[Quantity of luminaires or lamps]]="","",Table1323[[#This Row],[Rebate kW Savings]]),0)</f>
        <v/>
      </c>
      <c r="Y121" s="215" t="str">
        <f>IFERROR(IF(Table1323[[#This Row],[Quantity of luminaires or lamps]]="","",Table1323[[#This Row],[Total Lighting Rebate Energy Savings]]),0)</f>
        <v/>
      </c>
      <c r="Z121" s="207"/>
      <c r="AA121" s="18" t="str">
        <f>IF(Table1323[[#This Row],[Selected for Implementation]]="Yes",IF(Table1323[[#This Row],[No]]="","",(CONCATENATE("Light_"&amp;Table1323[[#This Row],[Rebate Category]]&amp;Table1323[[#This Row],[LED lamp/luminaire retrofit part '#]]))),"")</f>
        <v/>
      </c>
      <c r="AB121" s="20" t="str" cm="1">
        <f t="array" ref="AB121">IFERROR(IF(Table1323[[#This Row],[Annual hours from space type]]&gt;=Table14[],Table1323[[#This Row],[Demand Savings, kW]],0),0)</f>
        <v/>
      </c>
      <c r="AC121" s="19" t="str">
        <f>IFERROR(INDEX(Table1[BC Hydro xRM ECM],MATCH(Table1323[[#This Row],[Rebate Category]],Table1[BC Hydro Rebate Category],0)),"")</f>
        <v/>
      </c>
      <c r="AD121" s="18">
        <f>IF(Table1323[[#This Row],[Selected for Implementation]]="Yes",1,0)</f>
        <v>0</v>
      </c>
      <c r="AE121" s="18" t="e">
        <f>Table1323[[#This Row],[Implement]]*Table1323[[#This Row],[Demand Savings, kW]]</f>
        <v>#VALUE!</v>
      </c>
      <c r="AF121" s="18" t="e">
        <f>Table1323[[#This Row],[Implement]]*Table1323[[#This Row],[BCH Peak kW]]</f>
        <v>#VALUE!</v>
      </c>
      <c r="AG121" s="18">
        <f>Table1323[[#This Row],[Implement]]*Table1323[[#This Row],[Rebate kWh savings]]</f>
        <v>0</v>
      </c>
      <c r="AH121" s="18">
        <f>Table1323[[#This Row],[Implement]]*Table1323[[#This Row],[Controls Rebate kWh Savings]]</f>
        <v>0</v>
      </c>
      <c r="AI121" s="233">
        <f>Table1323[[#This Row],[Implement]]*Table1323[[#This Row],[Controls Rebate]]</f>
        <v>0</v>
      </c>
      <c r="AJ121" s="569">
        <f>IF(Table1323[[#This Row],[iControls Incentives]]&gt;0,Table1323[[#This Row],[Number of  sensors]],0)</f>
        <v>0</v>
      </c>
      <c r="AK121" s="233">
        <f>Table1323[[#This Row],[Implement]]*Table1323[[#This Row],[Lighting Rebate]]</f>
        <v>0</v>
      </c>
    </row>
    <row r="122" spans="2:37" ht="32.15" customHeight="1" x14ac:dyDescent="0.3">
      <c r="B122" s="17" t="str">
        <f>IF(Table1323[[#This Row],[Space Type]]="","","L-"&amp;ROW(116:116))</f>
        <v/>
      </c>
      <c r="C122" s="206"/>
      <c r="D122" s="207"/>
      <c r="E122" s="207"/>
      <c r="F122" s="207"/>
      <c r="G122" s="208" t="str">
        <f>IFERROR(IF(Table1323[[#This Row],[No]]="","",IF(Table1323[[#This Row],[Space Type]]="","select Space Type",INDEX(Table5[Hours],MATCH(Table1323[[#This Row],[Space Type]],Table5[Space Type],0)))),"")</f>
        <v/>
      </c>
      <c r="H122" s="207"/>
      <c r="I122" s="207"/>
      <c r="J122" s="613" t="str">
        <f>IFERROR(INDEX(Table1[Integrated Controls Capable],MATCH(Table1323[[#This Row],[Rebate Category]],Table1[BC Hydro Rebate Category],0)),"")</f>
        <v/>
      </c>
      <c r="K122" s="207"/>
      <c r="L122" s="572" t="str" cm="1">
        <f t="array" ref="L122">IFERROR(INDEX(Table1[Rebate],MATCH(Table1323[[#This Row],[Rebate Category]],Table1[BC Hydro Rebate Category],0))+IF(AND(Table1323[[#This Row],[Integrated Controls Capable]],Table1323[[#This Row],[Fixture Integrated Occupancy/Daylight Harvesting Sensors?]]="Yes"),Table6[],0),"")</f>
        <v/>
      </c>
      <c r="M122" s="574" t="str">
        <f>IFERROR(IF(AND(Table1323[[#This Row],[Integrated Controls Capable]],Table1323[[#This Row],[Fixture Integrated Occupancy/Daylight Harvesting Sensors?]]="Yes"),"per integrated luminaire", INDEX(Table1[Rebate Unit],MATCH(Table1323[[#This Row],[Rebate Category]],Table1[BC Hydro Rebate Category],0))),"")</f>
        <v/>
      </c>
      <c r="N122" s="207"/>
      <c r="O122" s="207"/>
      <c r="P122" s="206"/>
      <c r="Q122" s="209">
        <f>IFERROR(Table1323[[#This Row],[Rebate per luminaire, ($)]]*Table1323[[#This Row],[Quantity of luminaires or lamps]],0)</f>
        <v>0</v>
      </c>
      <c r="R12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22" s="211" t="str">
        <f>IFERROR(IF(Table1323[[#This Row],[Quantity of luminaires or lamps]]="","",IF(Table1323[[#This Row],[Controls Rebate]]="",0,Table1323[[#This Row],[Controls Rebate]])+Table1323[[#This Row],[Lighting Rebate]]),"")</f>
        <v/>
      </c>
      <c r="T12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22" s="213">
        <f>IFERROR(Table1323[[#This Row],[Rebate kW Savings]]*Table1323[[#This Row],[Annual hours from space type]],0)</f>
        <v>0</v>
      </c>
      <c r="V12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22" s="213">
        <f>Table1323[[#This Row],[Rebate kWh savings]]+Table1323[[#This Row],[Controls Rebate kWh Savings]]</f>
        <v>0</v>
      </c>
      <c r="X122" s="214" t="str">
        <f>IFERROR(IF(Table1323[[#This Row],[Quantity of luminaires or lamps]]="","",Table1323[[#This Row],[Rebate kW Savings]]),0)</f>
        <v/>
      </c>
      <c r="Y122" s="215" t="str">
        <f>IFERROR(IF(Table1323[[#This Row],[Quantity of luminaires or lamps]]="","",Table1323[[#This Row],[Total Lighting Rebate Energy Savings]]),0)</f>
        <v/>
      </c>
      <c r="Z122" s="207"/>
      <c r="AA122" s="18" t="str">
        <f>IF(Table1323[[#This Row],[Selected for Implementation]]="Yes",IF(Table1323[[#This Row],[No]]="","",(CONCATENATE("Light_"&amp;Table1323[[#This Row],[Rebate Category]]&amp;Table1323[[#This Row],[LED lamp/luminaire retrofit part '#]]))),"")</f>
        <v/>
      </c>
      <c r="AB122" s="20" t="str" cm="1">
        <f t="array" ref="AB122">IFERROR(IF(Table1323[[#This Row],[Annual hours from space type]]&gt;=Table14[],Table1323[[#This Row],[Demand Savings, kW]],0),0)</f>
        <v/>
      </c>
      <c r="AC122" s="19" t="str">
        <f>IFERROR(INDEX(Table1[BC Hydro xRM ECM],MATCH(Table1323[[#This Row],[Rebate Category]],Table1[BC Hydro Rebate Category],0)),"")</f>
        <v/>
      </c>
      <c r="AD122" s="18">
        <f>IF(Table1323[[#This Row],[Selected for Implementation]]="Yes",1,0)</f>
        <v>0</v>
      </c>
      <c r="AE122" s="18" t="e">
        <f>Table1323[[#This Row],[Implement]]*Table1323[[#This Row],[Demand Savings, kW]]</f>
        <v>#VALUE!</v>
      </c>
      <c r="AF122" s="18" t="e">
        <f>Table1323[[#This Row],[Implement]]*Table1323[[#This Row],[BCH Peak kW]]</f>
        <v>#VALUE!</v>
      </c>
      <c r="AG122" s="18">
        <f>Table1323[[#This Row],[Implement]]*Table1323[[#This Row],[Rebate kWh savings]]</f>
        <v>0</v>
      </c>
      <c r="AH122" s="18">
        <f>Table1323[[#This Row],[Implement]]*Table1323[[#This Row],[Controls Rebate kWh Savings]]</f>
        <v>0</v>
      </c>
      <c r="AI122" s="233">
        <f>Table1323[[#This Row],[Implement]]*Table1323[[#This Row],[Controls Rebate]]</f>
        <v>0</v>
      </c>
      <c r="AJ122" s="569">
        <f>IF(Table1323[[#This Row],[iControls Incentives]]&gt;0,Table1323[[#This Row],[Number of  sensors]],0)</f>
        <v>0</v>
      </c>
      <c r="AK122" s="233">
        <f>Table1323[[#This Row],[Implement]]*Table1323[[#This Row],[Lighting Rebate]]</f>
        <v>0</v>
      </c>
    </row>
    <row r="123" spans="2:37" ht="32.15" customHeight="1" x14ac:dyDescent="0.3">
      <c r="B123" s="17" t="str">
        <f>IF(Table1323[[#This Row],[Space Type]]="","","L-"&amp;ROW(117:117))</f>
        <v/>
      </c>
      <c r="C123" s="206"/>
      <c r="D123" s="207"/>
      <c r="E123" s="207"/>
      <c r="F123" s="207"/>
      <c r="G123" s="208" t="str">
        <f>IFERROR(IF(Table1323[[#This Row],[No]]="","",IF(Table1323[[#This Row],[Space Type]]="","select Space Type",INDEX(Table5[Hours],MATCH(Table1323[[#This Row],[Space Type]],Table5[Space Type],0)))),"")</f>
        <v/>
      </c>
      <c r="H123" s="207"/>
      <c r="I123" s="207"/>
      <c r="J123" s="613" t="str">
        <f>IFERROR(INDEX(Table1[Integrated Controls Capable],MATCH(Table1323[[#This Row],[Rebate Category]],Table1[BC Hydro Rebate Category],0)),"")</f>
        <v/>
      </c>
      <c r="K123" s="207"/>
      <c r="L123" s="572" t="str" cm="1">
        <f t="array" ref="L123">IFERROR(INDEX(Table1[Rebate],MATCH(Table1323[[#This Row],[Rebate Category]],Table1[BC Hydro Rebate Category],0))+IF(AND(Table1323[[#This Row],[Integrated Controls Capable]],Table1323[[#This Row],[Fixture Integrated Occupancy/Daylight Harvesting Sensors?]]="Yes"),Table6[],0),"")</f>
        <v/>
      </c>
      <c r="M123" s="574" t="str">
        <f>IFERROR(IF(AND(Table1323[[#This Row],[Integrated Controls Capable]],Table1323[[#This Row],[Fixture Integrated Occupancy/Daylight Harvesting Sensors?]]="Yes"),"per integrated luminaire", INDEX(Table1[Rebate Unit],MATCH(Table1323[[#This Row],[Rebate Category]],Table1[BC Hydro Rebate Category],0))),"")</f>
        <v/>
      </c>
      <c r="N123" s="207"/>
      <c r="O123" s="207"/>
      <c r="P123" s="206"/>
      <c r="Q123" s="209">
        <f>IFERROR(Table1323[[#This Row],[Rebate per luminaire, ($)]]*Table1323[[#This Row],[Quantity of luminaires or lamps]],0)</f>
        <v>0</v>
      </c>
      <c r="R12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23" s="211" t="str">
        <f>IFERROR(IF(Table1323[[#This Row],[Quantity of luminaires or lamps]]="","",IF(Table1323[[#This Row],[Controls Rebate]]="",0,Table1323[[#This Row],[Controls Rebate]])+Table1323[[#This Row],[Lighting Rebate]]),"")</f>
        <v/>
      </c>
      <c r="T12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23" s="213">
        <f>IFERROR(Table1323[[#This Row],[Rebate kW Savings]]*Table1323[[#This Row],[Annual hours from space type]],0)</f>
        <v>0</v>
      </c>
      <c r="V12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23" s="213">
        <f>Table1323[[#This Row],[Rebate kWh savings]]+Table1323[[#This Row],[Controls Rebate kWh Savings]]</f>
        <v>0</v>
      </c>
      <c r="X123" s="214" t="str">
        <f>IFERROR(IF(Table1323[[#This Row],[Quantity of luminaires or lamps]]="","",Table1323[[#This Row],[Rebate kW Savings]]),0)</f>
        <v/>
      </c>
      <c r="Y123" s="215" t="str">
        <f>IFERROR(IF(Table1323[[#This Row],[Quantity of luminaires or lamps]]="","",Table1323[[#This Row],[Total Lighting Rebate Energy Savings]]),0)</f>
        <v/>
      </c>
      <c r="Z123" s="207"/>
      <c r="AA123" s="18" t="str">
        <f>IF(Table1323[[#This Row],[Selected for Implementation]]="Yes",IF(Table1323[[#This Row],[No]]="","",(CONCATENATE("Light_"&amp;Table1323[[#This Row],[Rebate Category]]&amp;Table1323[[#This Row],[LED lamp/luminaire retrofit part '#]]))),"")</f>
        <v/>
      </c>
      <c r="AB123" s="20" t="str" cm="1">
        <f t="array" ref="AB123">IFERROR(IF(Table1323[[#This Row],[Annual hours from space type]]&gt;=Table14[],Table1323[[#This Row],[Demand Savings, kW]],0),0)</f>
        <v/>
      </c>
      <c r="AC123" s="19" t="str">
        <f>IFERROR(INDEX(Table1[BC Hydro xRM ECM],MATCH(Table1323[[#This Row],[Rebate Category]],Table1[BC Hydro Rebate Category],0)),"")</f>
        <v/>
      </c>
      <c r="AD123" s="18">
        <f>IF(Table1323[[#This Row],[Selected for Implementation]]="Yes",1,0)</f>
        <v>0</v>
      </c>
      <c r="AE123" s="18" t="e">
        <f>Table1323[[#This Row],[Implement]]*Table1323[[#This Row],[Demand Savings, kW]]</f>
        <v>#VALUE!</v>
      </c>
      <c r="AF123" s="18" t="e">
        <f>Table1323[[#This Row],[Implement]]*Table1323[[#This Row],[BCH Peak kW]]</f>
        <v>#VALUE!</v>
      </c>
      <c r="AG123" s="18">
        <f>Table1323[[#This Row],[Implement]]*Table1323[[#This Row],[Rebate kWh savings]]</f>
        <v>0</v>
      </c>
      <c r="AH123" s="18">
        <f>Table1323[[#This Row],[Implement]]*Table1323[[#This Row],[Controls Rebate kWh Savings]]</f>
        <v>0</v>
      </c>
      <c r="AI123" s="233">
        <f>Table1323[[#This Row],[Implement]]*Table1323[[#This Row],[Controls Rebate]]</f>
        <v>0</v>
      </c>
      <c r="AJ123" s="569">
        <f>IF(Table1323[[#This Row],[iControls Incentives]]&gt;0,Table1323[[#This Row],[Number of  sensors]],0)</f>
        <v>0</v>
      </c>
      <c r="AK123" s="233">
        <f>Table1323[[#This Row],[Implement]]*Table1323[[#This Row],[Lighting Rebate]]</f>
        <v>0</v>
      </c>
    </row>
    <row r="124" spans="2:37" ht="32.15" customHeight="1" x14ac:dyDescent="0.3">
      <c r="B124" s="17" t="str">
        <f>IF(Table1323[[#This Row],[Space Type]]="","","L-"&amp;ROW(118:118))</f>
        <v/>
      </c>
      <c r="C124" s="206"/>
      <c r="D124" s="207"/>
      <c r="E124" s="207"/>
      <c r="F124" s="207"/>
      <c r="G124" s="208" t="str">
        <f>IFERROR(IF(Table1323[[#This Row],[No]]="","",IF(Table1323[[#This Row],[Space Type]]="","select Space Type",INDEX(Table5[Hours],MATCH(Table1323[[#This Row],[Space Type]],Table5[Space Type],0)))),"")</f>
        <v/>
      </c>
      <c r="H124" s="207"/>
      <c r="I124" s="207"/>
      <c r="J124" s="613" t="str">
        <f>IFERROR(INDEX(Table1[Integrated Controls Capable],MATCH(Table1323[[#This Row],[Rebate Category]],Table1[BC Hydro Rebate Category],0)),"")</f>
        <v/>
      </c>
      <c r="K124" s="207"/>
      <c r="L124" s="572" t="str" cm="1">
        <f t="array" ref="L124">IFERROR(INDEX(Table1[Rebate],MATCH(Table1323[[#This Row],[Rebate Category]],Table1[BC Hydro Rebate Category],0))+IF(AND(Table1323[[#This Row],[Integrated Controls Capable]],Table1323[[#This Row],[Fixture Integrated Occupancy/Daylight Harvesting Sensors?]]="Yes"),Table6[],0),"")</f>
        <v/>
      </c>
      <c r="M124" s="574" t="str">
        <f>IFERROR(IF(AND(Table1323[[#This Row],[Integrated Controls Capable]],Table1323[[#This Row],[Fixture Integrated Occupancy/Daylight Harvesting Sensors?]]="Yes"),"per integrated luminaire", INDEX(Table1[Rebate Unit],MATCH(Table1323[[#This Row],[Rebate Category]],Table1[BC Hydro Rebate Category],0))),"")</f>
        <v/>
      </c>
      <c r="N124" s="207"/>
      <c r="O124" s="207"/>
      <c r="P124" s="206"/>
      <c r="Q124" s="209">
        <f>IFERROR(Table1323[[#This Row],[Rebate per luminaire, ($)]]*Table1323[[#This Row],[Quantity of luminaires or lamps]],0)</f>
        <v>0</v>
      </c>
      <c r="R12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24" s="211" t="str">
        <f>IFERROR(IF(Table1323[[#This Row],[Quantity of luminaires or lamps]]="","",IF(Table1323[[#This Row],[Controls Rebate]]="",0,Table1323[[#This Row],[Controls Rebate]])+Table1323[[#This Row],[Lighting Rebate]]),"")</f>
        <v/>
      </c>
      <c r="T12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24" s="213">
        <f>IFERROR(Table1323[[#This Row],[Rebate kW Savings]]*Table1323[[#This Row],[Annual hours from space type]],0)</f>
        <v>0</v>
      </c>
      <c r="V12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24" s="213">
        <f>Table1323[[#This Row],[Rebate kWh savings]]+Table1323[[#This Row],[Controls Rebate kWh Savings]]</f>
        <v>0</v>
      </c>
      <c r="X124" s="214" t="str">
        <f>IFERROR(IF(Table1323[[#This Row],[Quantity of luminaires or lamps]]="","",Table1323[[#This Row],[Rebate kW Savings]]),0)</f>
        <v/>
      </c>
      <c r="Y124" s="215" t="str">
        <f>IFERROR(IF(Table1323[[#This Row],[Quantity of luminaires or lamps]]="","",Table1323[[#This Row],[Total Lighting Rebate Energy Savings]]),0)</f>
        <v/>
      </c>
      <c r="Z124" s="207"/>
      <c r="AA124" s="18" t="str">
        <f>IF(Table1323[[#This Row],[Selected for Implementation]]="Yes",IF(Table1323[[#This Row],[No]]="","",(CONCATENATE("Light_"&amp;Table1323[[#This Row],[Rebate Category]]&amp;Table1323[[#This Row],[LED lamp/luminaire retrofit part '#]]))),"")</f>
        <v/>
      </c>
      <c r="AB124" s="20" t="str" cm="1">
        <f t="array" ref="AB124">IFERROR(IF(Table1323[[#This Row],[Annual hours from space type]]&gt;=Table14[],Table1323[[#This Row],[Demand Savings, kW]],0),0)</f>
        <v/>
      </c>
      <c r="AC124" s="19" t="str">
        <f>IFERROR(INDEX(Table1[BC Hydro xRM ECM],MATCH(Table1323[[#This Row],[Rebate Category]],Table1[BC Hydro Rebate Category],0)),"")</f>
        <v/>
      </c>
      <c r="AD124" s="18">
        <f>IF(Table1323[[#This Row],[Selected for Implementation]]="Yes",1,0)</f>
        <v>0</v>
      </c>
      <c r="AE124" s="18" t="e">
        <f>Table1323[[#This Row],[Implement]]*Table1323[[#This Row],[Demand Savings, kW]]</f>
        <v>#VALUE!</v>
      </c>
      <c r="AF124" s="18" t="e">
        <f>Table1323[[#This Row],[Implement]]*Table1323[[#This Row],[BCH Peak kW]]</f>
        <v>#VALUE!</v>
      </c>
      <c r="AG124" s="18">
        <f>Table1323[[#This Row],[Implement]]*Table1323[[#This Row],[Rebate kWh savings]]</f>
        <v>0</v>
      </c>
      <c r="AH124" s="18">
        <f>Table1323[[#This Row],[Implement]]*Table1323[[#This Row],[Controls Rebate kWh Savings]]</f>
        <v>0</v>
      </c>
      <c r="AI124" s="233">
        <f>Table1323[[#This Row],[Implement]]*Table1323[[#This Row],[Controls Rebate]]</f>
        <v>0</v>
      </c>
      <c r="AJ124" s="569">
        <f>IF(Table1323[[#This Row],[iControls Incentives]]&gt;0,Table1323[[#This Row],[Number of  sensors]],0)</f>
        <v>0</v>
      </c>
      <c r="AK124" s="233">
        <f>Table1323[[#This Row],[Implement]]*Table1323[[#This Row],[Lighting Rebate]]</f>
        <v>0</v>
      </c>
    </row>
    <row r="125" spans="2:37" ht="32.15" customHeight="1" x14ac:dyDescent="0.3">
      <c r="B125" s="17" t="str">
        <f>IF(Table1323[[#This Row],[Space Type]]="","","L-"&amp;ROW(119:119))</f>
        <v/>
      </c>
      <c r="C125" s="206"/>
      <c r="D125" s="207"/>
      <c r="E125" s="207"/>
      <c r="F125" s="207"/>
      <c r="G125" s="208" t="str">
        <f>IFERROR(IF(Table1323[[#This Row],[No]]="","",IF(Table1323[[#This Row],[Space Type]]="","select Space Type",INDEX(Table5[Hours],MATCH(Table1323[[#This Row],[Space Type]],Table5[Space Type],0)))),"")</f>
        <v/>
      </c>
      <c r="H125" s="207"/>
      <c r="I125" s="207"/>
      <c r="J125" s="613" t="str">
        <f>IFERROR(INDEX(Table1[Integrated Controls Capable],MATCH(Table1323[[#This Row],[Rebate Category]],Table1[BC Hydro Rebate Category],0)),"")</f>
        <v/>
      </c>
      <c r="K125" s="207"/>
      <c r="L125" s="572" t="str" cm="1">
        <f t="array" ref="L125">IFERROR(INDEX(Table1[Rebate],MATCH(Table1323[[#This Row],[Rebate Category]],Table1[BC Hydro Rebate Category],0))+IF(AND(Table1323[[#This Row],[Integrated Controls Capable]],Table1323[[#This Row],[Fixture Integrated Occupancy/Daylight Harvesting Sensors?]]="Yes"),Table6[],0),"")</f>
        <v/>
      </c>
      <c r="M125" s="574" t="str">
        <f>IFERROR(IF(AND(Table1323[[#This Row],[Integrated Controls Capable]],Table1323[[#This Row],[Fixture Integrated Occupancy/Daylight Harvesting Sensors?]]="Yes"),"per integrated luminaire", INDEX(Table1[Rebate Unit],MATCH(Table1323[[#This Row],[Rebate Category]],Table1[BC Hydro Rebate Category],0))),"")</f>
        <v/>
      </c>
      <c r="N125" s="207"/>
      <c r="O125" s="207"/>
      <c r="P125" s="206"/>
      <c r="Q125" s="209">
        <f>IFERROR(Table1323[[#This Row],[Rebate per luminaire, ($)]]*Table1323[[#This Row],[Quantity of luminaires or lamps]],0)</f>
        <v>0</v>
      </c>
      <c r="R12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25" s="211" t="str">
        <f>IFERROR(IF(Table1323[[#This Row],[Quantity of luminaires or lamps]]="","",IF(Table1323[[#This Row],[Controls Rebate]]="",0,Table1323[[#This Row],[Controls Rebate]])+Table1323[[#This Row],[Lighting Rebate]]),"")</f>
        <v/>
      </c>
      <c r="T12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25" s="213">
        <f>IFERROR(Table1323[[#This Row],[Rebate kW Savings]]*Table1323[[#This Row],[Annual hours from space type]],0)</f>
        <v>0</v>
      </c>
      <c r="V12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25" s="213">
        <f>Table1323[[#This Row],[Rebate kWh savings]]+Table1323[[#This Row],[Controls Rebate kWh Savings]]</f>
        <v>0</v>
      </c>
      <c r="X125" s="214" t="str">
        <f>IFERROR(IF(Table1323[[#This Row],[Quantity of luminaires or lamps]]="","",Table1323[[#This Row],[Rebate kW Savings]]),0)</f>
        <v/>
      </c>
      <c r="Y125" s="215" t="str">
        <f>IFERROR(IF(Table1323[[#This Row],[Quantity of luminaires or lamps]]="","",Table1323[[#This Row],[Total Lighting Rebate Energy Savings]]),0)</f>
        <v/>
      </c>
      <c r="Z125" s="207"/>
      <c r="AA125" s="18" t="str">
        <f>IF(Table1323[[#This Row],[Selected for Implementation]]="Yes",IF(Table1323[[#This Row],[No]]="","",(CONCATENATE("Light_"&amp;Table1323[[#This Row],[Rebate Category]]&amp;Table1323[[#This Row],[LED lamp/luminaire retrofit part '#]]))),"")</f>
        <v/>
      </c>
      <c r="AB125" s="20" t="str" cm="1">
        <f t="array" ref="AB125">IFERROR(IF(Table1323[[#This Row],[Annual hours from space type]]&gt;=Table14[],Table1323[[#This Row],[Demand Savings, kW]],0),0)</f>
        <v/>
      </c>
      <c r="AC125" s="19" t="str">
        <f>IFERROR(INDEX(Table1[BC Hydro xRM ECM],MATCH(Table1323[[#This Row],[Rebate Category]],Table1[BC Hydro Rebate Category],0)),"")</f>
        <v/>
      </c>
      <c r="AD125" s="18">
        <f>IF(Table1323[[#This Row],[Selected for Implementation]]="Yes",1,0)</f>
        <v>0</v>
      </c>
      <c r="AE125" s="18" t="e">
        <f>Table1323[[#This Row],[Implement]]*Table1323[[#This Row],[Demand Savings, kW]]</f>
        <v>#VALUE!</v>
      </c>
      <c r="AF125" s="18" t="e">
        <f>Table1323[[#This Row],[Implement]]*Table1323[[#This Row],[BCH Peak kW]]</f>
        <v>#VALUE!</v>
      </c>
      <c r="AG125" s="18">
        <f>Table1323[[#This Row],[Implement]]*Table1323[[#This Row],[Rebate kWh savings]]</f>
        <v>0</v>
      </c>
      <c r="AH125" s="18">
        <f>Table1323[[#This Row],[Implement]]*Table1323[[#This Row],[Controls Rebate kWh Savings]]</f>
        <v>0</v>
      </c>
      <c r="AI125" s="233">
        <f>Table1323[[#This Row],[Implement]]*Table1323[[#This Row],[Controls Rebate]]</f>
        <v>0</v>
      </c>
      <c r="AJ125" s="569">
        <f>IF(Table1323[[#This Row],[iControls Incentives]]&gt;0,Table1323[[#This Row],[Number of  sensors]],0)</f>
        <v>0</v>
      </c>
      <c r="AK125" s="233">
        <f>Table1323[[#This Row],[Implement]]*Table1323[[#This Row],[Lighting Rebate]]</f>
        <v>0</v>
      </c>
    </row>
    <row r="126" spans="2:37" ht="32.15" customHeight="1" x14ac:dyDescent="0.3">
      <c r="B126" s="17" t="str">
        <f>IF(Table1323[[#This Row],[Space Type]]="","","L-"&amp;ROW(120:120))</f>
        <v/>
      </c>
      <c r="C126" s="206"/>
      <c r="D126" s="207"/>
      <c r="E126" s="207"/>
      <c r="F126" s="207"/>
      <c r="G126" s="208" t="str">
        <f>IFERROR(IF(Table1323[[#This Row],[No]]="","",IF(Table1323[[#This Row],[Space Type]]="","select Space Type",INDEX(Table5[Hours],MATCH(Table1323[[#This Row],[Space Type]],Table5[Space Type],0)))),"")</f>
        <v/>
      </c>
      <c r="H126" s="207"/>
      <c r="I126" s="207"/>
      <c r="J126" s="613" t="str">
        <f>IFERROR(INDEX(Table1[Integrated Controls Capable],MATCH(Table1323[[#This Row],[Rebate Category]],Table1[BC Hydro Rebate Category],0)),"")</f>
        <v/>
      </c>
      <c r="K126" s="207"/>
      <c r="L126" s="572" t="str" cm="1">
        <f t="array" ref="L126">IFERROR(INDEX(Table1[Rebate],MATCH(Table1323[[#This Row],[Rebate Category]],Table1[BC Hydro Rebate Category],0))+IF(AND(Table1323[[#This Row],[Integrated Controls Capable]],Table1323[[#This Row],[Fixture Integrated Occupancy/Daylight Harvesting Sensors?]]="Yes"),Table6[],0),"")</f>
        <v/>
      </c>
      <c r="M126" s="574" t="str">
        <f>IFERROR(IF(AND(Table1323[[#This Row],[Integrated Controls Capable]],Table1323[[#This Row],[Fixture Integrated Occupancy/Daylight Harvesting Sensors?]]="Yes"),"per integrated luminaire", INDEX(Table1[Rebate Unit],MATCH(Table1323[[#This Row],[Rebate Category]],Table1[BC Hydro Rebate Category],0))),"")</f>
        <v/>
      </c>
      <c r="N126" s="207"/>
      <c r="O126" s="207"/>
      <c r="P126" s="206"/>
      <c r="Q126" s="209">
        <f>IFERROR(Table1323[[#This Row],[Rebate per luminaire, ($)]]*Table1323[[#This Row],[Quantity of luminaires or lamps]],0)</f>
        <v>0</v>
      </c>
      <c r="R12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26" s="211" t="str">
        <f>IFERROR(IF(Table1323[[#This Row],[Quantity of luminaires or lamps]]="","",IF(Table1323[[#This Row],[Controls Rebate]]="",0,Table1323[[#This Row],[Controls Rebate]])+Table1323[[#This Row],[Lighting Rebate]]),"")</f>
        <v/>
      </c>
      <c r="T12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26" s="213">
        <f>IFERROR(Table1323[[#This Row],[Rebate kW Savings]]*Table1323[[#This Row],[Annual hours from space type]],0)</f>
        <v>0</v>
      </c>
      <c r="V12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26" s="213">
        <f>Table1323[[#This Row],[Rebate kWh savings]]+Table1323[[#This Row],[Controls Rebate kWh Savings]]</f>
        <v>0</v>
      </c>
      <c r="X126" s="214" t="str">
        <f>IFERROR(IF(Table1323[[#This Row],[Quantity of luminaires or lamps]]="","",Table1323[[#This Row],[Rebate kW Savings]]),0)</f>
        <v/>
      </c>
      <c r="Y126" s="215" t="str">
        <f>IFERROR(IF(Table1323[[#This Row],[Quantity of luminaires or lamps]]="","",Table1323[[#This Row],[Total Lighting Rebate Energy Savings]]),0)</f>
        <v/>
      </c>
      <c r="Z126" s="207"/>
      <c r="AA126" s="18" t="str">
        <f>IF(Table1323[[#This Row],[Selected for Implementation]]="Yes",IF(Table1323[[#This Row],[No]]="","",(CONCATENATE("Light_"&amp;Table1323[[#This Row],[Rebate Category]]&amp;Table1323[[#This Row],[LED lamp/luminaire retrofit part '#]]))),"")</f>
        <v/>
      </c>
      <c r="AB126" s="20" t="str" cm="1">
        <f t="array" ref="AB126">IFERROR(IF(Table1323[[#This Row],[Annual hours from space type]]&gt;=Table14[],Table1323[[#This Row],[Demand Savings, kW]],0),0)</f>
        <v/>
      </c>
      <c r="AC126" s="19" t="str">
        <f>IFERROR(INDEX(Table1[BC Hydro xRM ECM],MATCH(Table1323[[#This Row],[Rebate Category]],Table1[BC Hydro Rebate Category],0)),"")</f>
        <v/>
      </c>
      <c r="AD126" s="18">
        <f>IF(Table1323[[#This Row],[Selected for Implementation]]="Yes",1,0)</f>
        <v>0</v>
      </c>
      <c r="AE126" s="18" t="e">
        <f>Table1323[[#This Row],[Implement]]*Table1323[[#This Row],[Demand Savings, kW]]</f>
        <v>#VALUE!</v>
      </c>
      <c r="AF126" s="18" t="e">
        <f>Table1323[[#This Row],[Implement]]*Table1323[[#This Row],[BCH Peak kW]]</f>
        <v>#VALUE!</v>
      </c>
      <c r="AG126" s="18">
        <f>Table1323[[#This Row],[Implement]]*Table1323[[#This Row],[Rebate kWh savings]]</f>
        <v>0</v>
      </c>
      <c r="AH126" s="18">
        <f>Table1323[[#This Row],[Implement]]*Table1323[[#This Row],[Controls Rebate kWh Savings]]</f>
        <v>0</v>
      </c>
      <c r="AI126" s="233">
        <f>Table1323[[#This Row],[Implement]]*Table1323[[#This Row],[Controls Rebate]]</f>
        <v>0</v>
      </c>
      <c r="AJ126" s="569">
        <f>IF(Table1323[[#This Row],[iControls Incentives]]&gt;0,Table1323[[#This Row],[Number of  sensors]],0)</f>
        <v>0</v>
      </c>
      <c r="AK126" s="233">
        <f>Table1323[[#This Row],[Implement]]*Table1323[[#This Row],[Lighting Rebate]]</f>
        <v>0</v>
      </c>
    </row>
    <row r="127" spans="2:37" ht="32.15" customHeight="1" x14ac:dyDescent="0.3">
      <c r="B127" s="17" t="str">
        <f>IF(Table1323[[#This Row],[Space Type]]="","","L-"&amp;ROW(121:121))</f>
        <v/>
      </c>
      <c r="C127" s="206"/>
      <c r="D127" s="207"/>
      <c r="E127" s="207"/>
      <c r="F127" s="207"/>
      <c r="G127" s="208" t="str">
        <f>IFERROR(IF(Table1323[[#This Row],[No]]="","",IF(Table1323[[#This Row],[Space Type]]="","select Space Type",INDEX(Table5[Hours],MATCH(Table1323[[#This Row],[Space Type]],Table5[Space Type],0)))),"")</f>
        <v/>
      </c>
      <c r="H127" s="207"/>
      <c r="I127" s="207"/>
      <c r="J127" s="613" t="str">
        <f>IFERROR(INDEX(Table1[Integrated Controls Capable],MATCH(Table1323[[#This Row],[Rebate Category]],Table1[BC Hydro Rebate Category],0)),"")</f>
        <v/>
      </c>
      <c r="K127" s="207"/>
      <c r="L127" s="572" t="str" cm="1">
        <f t="array" ref="L127">IFERROR(INDEX(Table1[Rebate],MATCH(Table1323[[#This Row],[Rebate Category]],Table1[BC Hydro Rebate Category],0))+IF(AND(Table1323[[#This Row],[Integrated Controls Capable]],Table1323[[#This Row],[Fixture Integrated Occupancy/Daylight Harvesting Sensors?]]="Yes"),Table6[],0),"")</f>
        <v/>
      </c>
      <c r="M127" s="574" t="str">
        <f>IFERROR(IF(AND(Table1323[[#This Row],[Integrated Controls Capable]],Table1323[[#This Row],[Fixture Integrated Occupancy/Daylight Harvesting Sensors?]]="Yes"),"per integrated luminaire", INDEX(Table1[Rebate Unit],MATCH(Table1323[[#This Row],[Rebate Category]],Table1[BC Hydro Rebate Category],0))),"")</f>
        <v/>
      </c>
      <c r="N127" s="207"/>
      <c r="O127" s="207"/>
      <c r="P127" s="206"/>
      <c r="Q127" s="209">
        <f>IFERROR(Table1323[[#This Row],[Rebate per luminaire, ($)]]*Table1323[[#This Row],[Quantity of luminaires or lamps]],0)</f>
        <v>0</v>
      </c>
      <c r="R12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27" s="211" t="str">
        <f>IFERROR(IF(Table1323[[#This Row],[Quantity of luminaires or lamps]]="","",IF(Table1323[[#This Row],[Controls Rebate]]="",0,Table1323[[#This Row],[Controls Rebate]])+Table1323[[#This Row],[Lighting Rebate]]),"")</f>
        <v/>
      </c>
      <c r="T12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27" s="213">
        <f>IFERROR(Table1323[[#This Row],[Rebate kW Savings]]*Table1323[[#This Row],[Annual hours from space type]],0)</f>
        <v>0</v>
      </c>
      <c r="V12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27" s="213">
        <f>Table1323[[#This Row],[Rebate kWh savings]]+Table1323[[#This Row],[Controls Rebate kWh Savings]]</f>
        <v>0</v>
      </c>
      <c r="X127" s="214" t="str">
        <f>IFERROR(IF(Table1323[[#This Row],[Quantity of luminaires or lamps]]="","",Table1323[[#This Row],[Rebate kW Savings]]),0)</f>
        <v/>
      </c>
      <c r="Y127" s="215" t="str">
        <f>IFERROR(IF(Table1323[[#This Row],[Quantity of luminaires or lamps]]="","",Table1323[[#This Row],[Total Lighting Rebate Energy Savings]]),0)</f>
        <v/>
      </c>
      <c r="Z127" s="207"/>
      <c r="AA127" s="18" t="str">
        <f>IF(Table1323[[#This Row],[Selected for Implementation]]="Yes",IF(Table1323[[#This Row],[No]]="","",(CONCATENATE("Light_"&amp;Table1323[[#This Row],[Rebate Category]]&amp;Table1323[[#This Row],[LED lamp/luminaire retrofit part '#]]))),"")</f>
        <v/>
      </c>
      <c r="AB127" s="20" t="str" cm="1">
        <f t="array" ref="AB127">IFERROR(IF(Table1323[[#This Row],[Annual hours from space type]]&gt;=Table14[],Table1323[[#This Row],[Demand Savings, kW]],0),0)</f>
        <v/>
      </c>
      <c r="AC127" s="19" t="str">
        <f>IFERROR(INDEX(Table1[BC Hydro xRM ECM],MATCH(Table1323[[#This Row],[Rebate Category]],Table1[BC Hydro Rebate Category],0)),"")</f>
        <v/>
      </c>
      <c r="AD127" s="18">
        <f>IF(Table1323[[#This Row],[Selected for Implementation]]="Yes",1,0)</f>
        <v>0</v>
      </c>
      <c r="AE127" s="18" t="e">
        <f>Table1323[[#This Row],[Implement]]*Table1323[[#This Row],[Demand Savings, kW]]</f>
        <v>#VALUE!</v>
      </c>
      <c r="AF127" s="18" t="e">
        <f>Table1323[[#This Row],[Implement]]*Table1323[[#This Row],[BCH Peak kW]]</f>
        <v>#VALUE!</v>
      </c>
      <c r="AG127" s="18">
        <f>Table1323[[#This Row],[Implement]]*Table1323[[#This Row],[Rebate kWh savings]]</f>
        <v>0</v>
      </c>
      <c r="AH127" s="18">
        <f>Table1323[[#This Row],[Implement]]*Table1323[[#This Row],[Controls Rebate kWh Savings]]</f>
        <v>0</v>
      </c>
      <c r="AI127" s="233">
        <f>Table1323[[#This Row],[Implement]]*Table1323[[#This Row],[Controls Rebate]]</f>
        <v>0</v>
      </c>
      <c r="AJ127" s="569">
        <f>IF(Table1323[[#This Row],[iControls Incentives]]&gt;0,Table1323[[#This Row],[Number of  sensors]],0)</f>
        <v>0</v>
      </c>
      <c r="AK127" s="233">
        <f>Table1323[[#This Row],[Implement]]*Table1323[[#This Row],[Lighting Rebate]]</f>
        <v>0</v>
      </c>
    </row>
    <row r="128" spans="2:37" ht="32.15" customHeight="1" x14ac:dyDescent="0.3">
      <c r="B128" s="17" t="str">
        <f>IF(Table1323[[#This Row],[Space Type]]="","","L-"&amp;ROW(122:122))</f>
        <v/>
      </c>
      <c r="C128" s="206"/>
      <c r="D128" s="207"/>
      <c r="E128" s="207"/>
      <c r="F128" s="207"/>
      <c r="G128" s="208" t="str">
        <f>IFERROR(IF(Table1323[[#This Row],[No]]="","",IF(Table1323[[#This Row],[Space Type]]="","select Space Type",INDEX(Table5[Hours],MATCH(Table1323[[#This Row],[Space Type]],Table5[Space Type],0)))),"")</f>
        <v/>
      </c>
      <c r="H128" s="207"/>
      <c r="I128" s="207"/>
      <c r="J128" s="613" t="str">
        <f>IFERROR(INDEX(Table1[Integrated Controls Capable],MATCH(Table1323[[#This Row],[Rebate Category]],Table1[BC Hydro Rebate Category],0)),"")</f>
        <v/>
      </c>
      <c r="K128" s="207"/>
      <c r="L128" s="572" t="str" cm="1">
        <f t="array" ref="L128">IFERROR(INDEX(Table1[Rebate],MATCH(Table1323[[#This Row],[Rebate Category]],Table1[BC Hydro Rebate Category],0))+IF(AND(Table1323[[#This Row],[Integrated Controls Capable]],Table1323[[#This Row],[Fixture Integrated Occupancy/Daylight Harvesting Sensors?]]="Yes"),Table6[],0),"")</f>
        <v/>
      </c>
      <c r="M128" s="574" t="str">
        <f>IFERROR(IF(AND(Table1323[[#This Row],[Integrated Controls Capable]],Table1323[[#This Row],[Fixture Integrated Occupancy/Daylight Harvesting Sensors?]]="Yes"),"per integrated luminaire", INDEX(Table1[Rebate Unit],MATCH(Table1323[[#This Row],[Rebate Category]],Table1[BC Hydro Rebate Category],0))),"")</f>
        <v/>
      </c>
      <c r="N128" s="207"/>
      <c r="O128" s="207"/>
      <c r="P128" s="206"/>
      <c r="Q128" s="209">
        <f>IFERROR(Table1323[[#This Row],[Rebate per luminaire, ($)]]*Table1323[[#This Row],[Quantity of luminaires or lamps]],0)</f>
        <v>0</v>
      </c>
      <c r="R12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28" s="211" t="str">
        <f>IFERROR(IF(Table1323[[#This Row],[Quantity of luminaires or lamps]]="","",IF(Table1323[[#This Row],[Controls Rebate]]="",0,Table1323[[#This Row],[Controls Rebate]])+Table1323[[#This Row],[Lighting Rebate]]),"")</f>
        <v/>
      </c>
      <c r="T12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28" s="213">
        <f>IFERROR(Table1323[[#This Row],[Rebate kW Savings]]*Table1323[[#This Row],[Annual hours from space type]],0)</f>
        <v>0</v>
      </c>
      <c r="V12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28" s="213">
        <f>Table1323[[#This Row],[Rebate kWh savings]]+Table1323[[#This Row],[Controls Rebate kWh Savings]]</f>
        <v>0</v>
      </c>
      <c r="X128" s="214" t="str">
        <f>IFERROR(IF(Table1323[[#This Row],[Quantity of luminaires or lamps]]="","",Table1323[[#This Row],[Rebate kW Savings]]),0)</f>
        <v/>
      </c>
      <c r="Y128" s="215" t="str">
        <f>IFERROR(IF(Table1323[[#This Row],[Quantity of luminaires or lamps]]="","",Table1323[[#This Row],[Total Lighting Rebate Energy Savings]]),0)</f>
        <v/>
      </c>
      <c r="Z128" s="207"/>
      <c r="AA128" s="18" t="str">
        <f>IF(Table1323[[#This Row],[Selected for Implementation]]="Yes",IF(Table1323[[#This Row],[No]]="","",(CONCATENATE("Light_"&amp;Table1323[[#This Row],[Rebate Category]]&amp;Table1323[[#This Row],[LED lamp/luminaire retrofit part '#]]))),"")</f>
        <v/>
      </c>
      <c r="AB128" s="20" t="str" cm="1">
        <f t="array" ref="AB128">IFERROR(IF(Table1323[[#This Row],[Annual hours from space type]]&gt;=Table14[],Table1323[[#This Row],[Demand Savings, kW]],0),0)</f>
        <v/>
      </c>
      <c r="AC128" s="19" t="str">
        <f>IFERROR(INDEX(Table1[BC Hydro xRM ECM],MATCH(Table1323[[#This Row],[Rebate Category]],Table1[BC Hydro Rebate Category],0)),"")</f>
        <v/>
      </c>
      <c r="AD128" s="18">
        <f>IF(Table1323[[#This Row],[Selected for Implementation]]="Yes",1,0)</f>
        <v>0</v>
      </c>
      <c r="AE128" s="18" t="e">
        <f>Table1323[[#This Row],[Implement]]*Table1323[[#This Row],[Demand Savings, kW]]</f>
        <v>#VALUE!</v>
      </c>
      <c r="AF128" s="18" t="e">
        <f>Table1323[[#This Row],[Implement]]*Table1323[[#This Row],[BCH Peak kW]]</f>
        <v>#VALUE!</v>
      </c>
      <c r="AG128" s="18">
        <f>Table1323[[#This Row],[Implement]]*Table1323[[#This Row],[Rebate kWh savings]]</f>
        <v>0</v>
      </c>
      <c r="AH128" s="18">
        <f>Table1323[[#This Row],[Implement]]*Table1323[[#This Row],[Controls Rebate kWh Savings]]</f>
        <v>0</v>
      </c>
      <c r="AI128" s="233">
        <f>Table1323[[#This Row],[Implement]]*Table1323[[#This Row],[Controls Rebate]]</f>
        <v>0</v>
      </c>
      <c r="AJ128" s="569">
        <f>IF(Table1323[[#This Row],[iControls Incentives]]&gt;0,Table1323[[#This Row],[Number of  sensors]],0)</f>
        <v>0</v>
      </c>
      <c r="AK128" s="233">
        <f>Table1323[[#This Row],[Implement]]*Table1323[[#This Row],[Lighting Rebate]]</f>
        <v>0</v>
      </c>
    </row>
    <row r="129" spans="2:37" ht="32.15" customHeight="1" x14ac:dyDescent="0.3">
      <c r="B129" s="17" t="str">
        <f>IF(Table1323[[#This Row],[Space Type]]="","","L-"&amp;ROW(123:123))</f>
        <v/>
      </c>
      <c r="C129" s="206"/>
      <c r="D129" s="207"/>
      <c r="E129" s="207"/>
      <c r="F129" s="207"/>
      <c r="G129" s="208" t="str">
        <f>IFERROR(IF(Table1323[[#This Row],[No]]="","",IF(Table1323[[#This Row],[Space Type]]="","select Space Type",INDEX(Table5[Hours],MATCH(Table1323[[#This Row],[Space Type]],Table5[Space Type],0)))),"")</f>
        <v/>
      </c>
      <c r="H129" s="207"/>
      <c r="I129" s="207"/>
      <c r="J129" s="613" t="str">
        <f>IFERROR(INDEX(Table1[Integrated Controls Capable],MATCH(Table1323[[#This Row],[Rebate Category]],Table1[BC Hydro Rebate Category],0)),"")</f>
        <v/>
      </c>
      <c r="K129" s="207"/>
      <c r="L129" s="572" t="str" cm="1">
        <f t="array" ref="L129">IFERROR(INDEX(Table1[Rebate],MATCH(Table1323[[#This Row],[Rebate Category]],Table1[BC Hydro Rebate Category],0))+IF(AND(Table1323[[#This Row],[Integrated Controls Capable]],Table1323[[#This Row],[Fixture Integrated Occupancy/Daylight Harvesting Sensors?]]="Yes"),Table6[],0),"")</f>
        <v/>
      </c>
      <c r="M129" s="574" t="str">
        <f>IFERROR(IF(AND(Table1323[[#This Row],[Integrated Controls Capable]],Table1323[[#This Row],[Fixture Integrated Occupancy/Daylight Harvesting Sensors?]]="Yes"),"per integrated luminaire", INDEX(Table1[Rebate Unit],MATCH(Table1323[[#This Row],[Rebate Category]],Table1[BC Hydro Rebate Category],0))),"")</f>
        <v/>
      </c>
      <c r="N129" s="207"/>
      <c r="O129" s="207"/>
      <c r="P129" s="206"/>
      <c r="Q129" s="209">
        <f>IFERROR(Table1323[[#This Row],[Rebate per luminaire, ($)]]*Table1323[[#This Row],[Quantity of luminaires or lamps]],0)</f>
        <v>0</v>
      </c>
      <c r="R12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29" s="211" t="str">
        <f>IFERROR(IF(Table1323[[#This Row],[Quantity of luminaires or lamps]]="","",IF(Table1323[[#This Row],[Controls Rebate]]="",0,Table1323[[#This Row],[Controls Rebate]])+Table1323[[#This Row],[Lighting Rebate]]),"")</f>
        <v/>
      </c>
      <c r="T12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29" s="213">
        <f>IFERROR(Table1323[[#This Row],[Rebate kW Savings]]*Table1323[[#This Row],[Annual hours from space type]],0)</f>
        <v>0</v>
      </c>
      <c r="V12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29" s="213">
        <f>Table1323[[#This Row],[Rebate kWh savings]]+Table1323[[#This Row],[Controls Rebate kWh Savings]]</f>
        <v>0</v>
      </c>
      <c r="X129" s="214" t="str">
        <f>IFERROR(IF(Table1323[[#This Row],[Quantity of luminaires or lamps]]="","",Table1323[[#This Row],[Rebate kW Savings]]),0)</f>
        <v/>
      </c>
      <c r="Y129" s="215" t="str">
        <f>IFERROR(IF(Table1323[[#This Row],[Quantity of luminaires or lamps]]="","",Table1323[[#This Row],[Total Lighting Rebate Energy Savings]]),0)</f>
        <v/>
      </c>
      <c r="Z129" s="207"/>
      <c r="AA129" s="18" t="str">
        <f>IF(Table1323[[#This Row],[Selected for Implementation]]="Yes",IF(Table1323[[#This Row],[No]]="","",(CONCATENATE("Light_"&amp;Table1323[[#This Row],[Rebate Category]]&amp;Table1323[[#This Row],[LED lamp/luminaire retrofit part '#]]))),"")</f>
        <v/>
      </c>
      <c r="AB129" s="20" t="str" cm="1">
        <f t="array" ref="AB129">IFERROR(IF(Table1323[[#This Row],[Annual hours from space type]]&gt;=Table14[],Table1323[[#This Row],[Demand Savings, kW]],0),0)</f>
        <v/>
      </c>
      <c r="AC129" s="19" t="str">
        <f>IFERROR(INDEX(Table1[BC Hydro xRM ECM],MATCH(Table1323[[#This Row],[Rebate Category]],Table1[BC Hydro Rebate Category],0)),"")</f>
        <v/>
      </c>
      <c r="AD129" s="18">
        <f>IF(Table1323[[#This Row],[Selected for Implementation]]="Yes",1,0)</f>
        <v>0</v>
      </c>
      <c r="AE129" s="18" t="e">
        <f>Table1323[[#This Row],[Implement]]*Table1323[[#This Row],[Demand Savings, kW]]</f>
        <v>#VALUE!</v>
      </c>
      <c r="AF129" s="18" t="e">
        <f>Table1323[[#This Row],[Implement]]*Table1323[[#This Row],[BCH Peak kW]]</f>
        <v>#VALUE!</v>
      </c>
      <c r="AG129" s="18">
        <f>Table1323[[#This Row],[Implement]]*Table1323[[#This Row],[Rebate kWh savings]]</f>
        <v>0</v>
      </c>
      <c r="AH129" s="18">
        <f>Table1323[[#This Row],[Implement]]*Table1323[[#This Row],[Controls Rebate kWh Savings]]</f>
        <v>0</v>
      </c>
      <c r="AI129" s="233">
        <f>Table1323[[#This Row],[Implement]]*Table1323[[#This Row],[Controls Rebate]]</f>
        <v>0</v>
      </c>
      <c r="AJ129" s="569">
        <f>IF(Table1323[[#This Row],[iControls Incentives]]&gt;0,Table1323[[#This Row],[Number of  sensors]],0)</f>
        <v>0</v>
      </c>
      <c r="AK129" s="233">
        <f>Table1323[[#This Row],[Implement]]*Table1323[[#This Row],[Lighting Rebate]]</f>
        <v>0</v>
      </c>
    </row>
    <row r="130" spans="2:37" ht="32.15" customHeight="1" x14ac:dyDescent="0.3">
      <c r="B130" s="17" t="str">
        <f>IF(Table1323[[#This Row],[Space Type]]="","","L-"&amp;ROW(124:124))</f>
        <v/>
      </c>
      <c r="C130" s="206"/>
      <c r="D130" s="207"/>
      <c r="E130" s="207"/>
      <c r="F130" s="207"/>
      <c r="G130" s="208" t="str">
        <f>IFERROR(IF(Table1323[[#This Row],[No]]="","",IF(Table1323[[#This Row],[Space Type]]="","select Space Type",INDEX(Table5[Hours],MATCH(Table1323[[#This Row],[Space Type]],Table5[Space Type],0)))),"")</f>
        <v/>
      </c>
      <c r="H130" s="207"/>
      <c r="I130" s="207"/>
      <c r="J130" s="613" t="str">
        <f>IFERROR(INDEX(Table1[Integrated Controls Capable],MATCH(Table1323[[#This Row],[Rebate Category]],Table1[BC Hydro Rebate Category],0)),"")</f>
        <v/>
      </c>
      <c r="K130" s="207"/>
      <c r="L130" s="572" t="str" cm="1">
        <f t="array" ref="L130">IFERROR(INDEX(Table1[Rebate],MATCH(Table1323[[#This Row],[Rebate Category]],Table1[BC Hydro Rebate Category],0))+IF(AND(Table1323[[#This Row],[Integrated Controls Capable]],Table1323[[#This Row],[Fixture Integrated Occupancy/Daylight Harvesting Sensors?]]="Yes"),Table6[],0),"")</f>
        <v/>
      </c>
      <c r="M130" s="574" t="str">
        <f>IFERROR(IF(AND(Table1323[[#This Row],[Integrated Controls Capable]],Table1323[[#This Row],[Fixture Integrated Occupancy/Daylight Harvesting Sensors?]]="Yes"),"per integrated luminaire", INDEX(Table1[Rebate Unit],MATCH(Table1323[[#This Row],[Rebate Category]],Table1[BC Hydro Rebate Category],0))),"")</f>
        <v/>
      </c>
      <c r="N130" s="207"/>
      <c r="O130" s="207"/>
      <c r="P130" s="206"/>
      <c r="Q130" s="209">
        <f>IFERROR(Table1323[[#This Row],[Rebate per luminaire, ($)]]*Table1323[[#This Row],[Quantity of luminaires or lamps]],0)</f>
        <v>0</v>
      </c>
      <c r="R13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30" s="211" t="str">
        <f>IFERROR(IF(Table1323[[#This Row],[Quantity of luminaires or lamps]]="","",IF(Table1323[[#This Row],[Controls Rebate]]="",0,Table1323[[#This Row],[Controls Rebate]])+Table1323[[#This Row],[Lighting Rebate]]),"")</f>
        <v/>
      </c>
      <c r="T13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30" s="213">
        <f>IFERROR(Table1323[[#This Row],[Rebate kW Savings]]*Table1323[[#This Row],[Annual hours from space type]],0)</f>
        <v>0</v>
      </c>
      <c r="V13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30" s="213">
        <f>Table1323[[#This Row],[Rebate kWh savings]]+Table1323[[#This Row],[Controls Rebate kWh Savings]]</f>
        <v>0</v>
      </c>
      <c r="X130" s="214" t="str">
        <f>IFERROR(IF(Table1323[[#This Row],[Quantity of luminaires or lamps]]="","",Table1323[[#This Row],[Rebate kW Savings]]),0)</f>
        <v/>
      </c>
      <c r="Y130" s="215" t="str">
        <f>IFERROR(IF(Table1323[[#This Row],[Quantity of luminaires or lamps]]="","",Table1323[[#This Row],[Total Lighting Rebate Energy Savings]]),0)</f>
        <v/>
      </c>
      <c r="Z130" s="207"/>
      <c r="AA130" s="18" t="str">
        <f>IF(Table1323[[#This Row],[Selected for Implementation]]="Yes",IF(Table1323[[#This Row],[No]]="","",(CONCATENATE("Light_"&amp;Table1323[[#This Row],[Rebate Category]]&amp;Table1323[[#This Row],[LED lamp/luminaire retrofit part '#]]))),"")</f>
        <v/>
      </c>
      <c r="AB130" s="20" t="str" cm="1">
        <f t="array" ref="AB130">IFERROR(IF(Table1323[[#This Row],[Annual hours from space type]]&gt;=Table14[],Table1323[[#This Row],[Demand Savings, kW]],0),0)</f>
        <v/>
      </c>
      <c r="AC130" s="19" t="str">
        <f>IFERROR(INDEX(Table1[BC Hydro xRM ECM],MATCH(Table1323[[#This Row],[Rebate Category]],Table1[BC Hydro Rebate Category],0)),"")</f>
        <v/>
      </c>
      <c r="AD130" s="18">
        <f>IF(Table1323[[#This Row],[Selected for Implementation]]="Yes",1,0)</f>
        <v>0</v>
      </c>
      <c r="AE130" s="18" t="e">
        <f>Table1323[[#This Row],[Implement]]*Table1323[[#This Row],[Demand Savings, kW]]</f>
        <v>#VALUE!</v>
      </c>
      <c r="AF130" s="18" t="e">
        <f>Table1323[[#This Row],[Implement]]*Table1323[[#This Row],[BCH Peak kW]]</f>
        <v>#VALUE!</v>
      </c>
      <c r="AG130" s="18">
        <f>Table1323[[#This Row],[Implement]]*Table1323[[#This Row],[Rebate kWh savings]]</f>
        <v>0</v>
      </c>
      <c r="AH130" s="18">
        <f>Table1323[[#This Row],[Implement]]*Table1323[[#This Row],[Controls Rebate kWh Savings]]</f>
        <v>0</v>
      </c>
      <c r="AI130" s="233">
        <f>Table1323[[#This Row],[Implement]]*Table1323[[#This Row],[Controls Rebate]]</f>
        <v>0</v>
      </c>
      <c r="AJ130" s="569">
        <f>IF(Table1323[[#This Row],[iControls Incentives]]&gt;0,Table1323[[#This Row],[Number of  sensors]],0)</f>
        <v>0</v>
      </c>
      <c r="AK130" s="233">
        <f>Table1323[[#This Row],[Implement]]*Table1323[[#This Row],[Lighting Rebate]]</f>
        <v>0</v>
      </c>
    </row>
    <row r="131" spans="2:37" ht="32.15" customHeight="1" x14ac:dyDescent="0.3">
      <c r="B131" s="17" t="str">
        <f>IF(Table1323[[#This Row],[Space Type]]="","","L-"&amp;ROW(125:125))</f>
        <v/>
      </c>
      <c r="C131" s="206"/>
      <c r="D131" s="207"/>
      <c r="E131" s="207"/>
      <c r="F131" s="207"/>
      <c r="G131" s="208" t="str">
        <f>IFERROR(IF(Table1323[[#This Row],[No]]="","",IF(Table1323[[#This Row],[Space Type]]="","select Space Type",INDEX(Table5[Hours],MATCH(Table1323[[#This Row],[Space Type]],Table5[Space Type],0)))),"")</f>
        <v/>
      </c>
      <c r="H131" s="207"/>
      <c r="I131" s="207"/>
      <c r="J131" s="613" t="str">
        <f>IFERROR(INDEX(Table1[Integrated Controls Capable],MATCH(Table1323[[#This Row],[Rebate Category]],Table1[BC Hydro Rebate Category],0)),"")</f>
        <v/>
      </c>
      <c r="K131" s="207"/>
      <c r="L131" s="572" t="str" cm="1">
        <f t="array" ref="L131">IFERROR(INDEX(Table1[Rebate],MATCH(Table1323[[#This Row],[Rebate Category]],Table1[BC Hydro Rebate Category],0))+IF(AND(Table1323[[#This Row],[Integrated Controls Capable]],Table1323[[#This Row],[Fixture Integrated Occupancy/Daylight Harvesting Sensors?]]="Yes"),Table6[],0),"")</f>
        <v/>
      </c>
      <c r="M131" s="574" t="str">
        <f>IFERROR(IF(AND(Table1323[[#This Row],[Integrated Controls Capable]],Table1323[[#This Row],[Fixture Integrated Occupancy/Daylight Harvesting Sensors?]]="Yes"),"per integrated luminaire", INDEX(Table1[Rebate Unit],MATCH(Table1323[[#This Row],[Rebate Category]],Table1[BC Hydro Rebate Category],0))),"")</f>
        <v/>
      </c>
      <c r="N131" s="207"/>
      <c r="O131" s="207"/>
      <c r="P131" s="206"/>
      <c r="Q131" s="209">
        <f>IFERROR(Table1323[[#This Row],[Rebate per luminaire, ($)]]*Table1323[[#This Row],[Quantity of luminaires or lamps]],0)</f>
        <v>0</v>
      </c>
      <c r="R13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31" s="211" t="str">
        <f>IFERROR(IF(Table1323[[#This Row],[Quantity of luminaires or lamps]]="","",IF(Table1323[[#This Row],[Controls Rebate]]="",0,Table1323[[#This Row],[Controls Rebate]])+Table1323[[#This Row],[Lighting Rebate]]),"")</f>
        <v/>
      </c>
      <c r="T13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31" s="213">
        <f>IFERROR(Table1323[[#This Row],[Rebate kW Savings]]*Table1323[[#This Row],[Annual hours from space type]],0)</f>
        <v>0</v>
      </c>
      <c r="V13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31" s="213">
        <f>Table1323[[#This Row],[Rebate kWh savings]]+Table1323[[#This Row],[Controls Rebate kWh Savings]]</f>
        <v>0</v>
      </c>
      <c r="X131" s="214" t="str">
        <f>IFERROR(IF(Table1323[[#This Row],[Quantity of luminaires or lamps]]="","",Table1323[[#This Row],[Rebate kW Savings]]),0)</f>
        <v/>
      </c>
      <c r="Y131" s="215" t="str">
        <f>IFERROR(IF(Table1323[[#This Row],[Quantity of luminaires or lamps]]="","",Table1323[[#This Row],[Total Lighting Rebate Energy Savings]]),0)</f>
        <v/>
      </c>
      <c r="Z131" s="207"/>
      <c r="AA131" s="18" t="str">
        <f>IF(Table1323[[#This Row],[Selected for Implementation]]="Yes",IF(Table1323[[#This Row],[No]]="","",(CONCATENATE("Light_"&amp;Table1323[[#This Row],[Rebate Category]]&amp;Table1323[[#This Row],[LED lamp/luminaire retrofit part '#]]))),"")</f>
        <v/>
      </c>
      <c r="AB131" s="20" t="str" cm="1">
        <f t="array" ref="AB131">IFERROR(IF(Table1323[[#This Row],[Annual hours from space type]]&gt;=Table14[],Table1323[[#This Row],[Demand Savings, kW]],0),0)</f>
        <v/>
      </c>
      <c r="AC131" s="19" t="str">
        <f>IFERROR(INDEX(Table1[BC Hydro xRM ECM],MATCH(Table1323[[#This Row],[Rebate Category]],Table1[BC Hydro Rebate Category],0)),"")</f>
        <v/>
      </c>
      <c r="AD131" s="18">
        <f>IF(Table1323[[#This Row],[Selected for Implementation]]="Yes",1,0)</f>
        <v>0</v>
      </c>
      <c r="AE131" s="18" t="e">
        <f>Table1323[[#This Row],[Implement]]*Table1323[[#This Row],[Demand Savings, kW]]</f>
        <v>#VALUE!</v>
      </c>
      <c r="AF131" s="18" t="e">
        <f>Table1323[[#This Row],[Implement]]*Table1323[[#This Row],[BCH Peak kW]]</f>
        <v>#VALUE!</v>
      </c>
      <c r="AG131" s="18">
        <f>Table1323[[#This Row],[Implement]]*Table1323[[#This Row],[Rebate kWh savings]]</f>
        <v>0</v>
      </c>
      <c r="AH131" s="18">
        <f>Table1323[[#This Row],[Implement]]*Table1323[[#This Row],[Controls Rebate kWh Savings]]</f>
        <v>0</v>
      </c>
      <c r="AI131" s="233">
        <f>Table1323[[#This Row],[Implement]]*Table1323[[#This Row],[Controls Rebate]]</f>
        <v>0</v>
      </c>
      <c r="AJ131" s="569">
        <f>IF(Table1323[[#This Row],[iControls Incentives]]&gt;0,Table1323[[#This Row],[Number of  sensors]],0)</f>
        <v>0</v>
      </c>
      <c r="AK131" s="233">
        <f>Table1323[[#This Row],[Implement]]*Table1323[[#This Row],[Lighting Rebate]]</f>
        <v>0</v>
      </c>
    </row>
    <row r="132" spans="2:37" ht="32.15" customHeight="1" x14ac:dyDescent="0.3">
      <c r="B132" s="17" t="str">
        <f>IF(Table1323[[#This Row],[Space Type]]="","","L-"&amp;ROW(126:126))</f>
        <v/>
      </c>
      <c r="C132" s="206"/>
      <c r="D132" s="207"/>
      <c r="E132" s="207"/>
      <c r="F132" s="207"/>
      <c r="G132" s="208" t="str">
        <f>IFERROR(IF(Table1323[[#This Row],[No]]="","",IF(Table1323[[#This Row],[Space Type]]="","select Space Type",INDEX(Table5[Hours],MATCH(Table1323[[#This Row],[Space Type]],Table5[Space Type],0)))),"")</f>
        <v/>
      </c>
      <c r="H132" s="207"/>
      <c r="I132" s="207"/>
      <c r="J132" s="613" t="str">
        <f>IFERROR(INDEX(Table1[Integrated Controls Capable],MATCH(Table1323[[#This Row],[Rebate Category]],Table1[BC Hydro Rebate Category],0)),"")</f>
        <v/>
      </c>
      <c r="K132" s="207"/>
      <c r="L132" s="572" t="str" cm="1">
        <f t="array" ref="L132">IFERROR(INDEX(Table1[Rebate],MATCH(Table1323[[#This Row],[Rebate Category]],Table1[BC Hydro Rebate Category],0))+IF(AND(Table1323[[#This Row],[Integrated Controls Capable]],Table1323[[#This Row],[Fixture Integrated Occupancy/Daylight Harvesting Sensors?]]="Yes"),Table6[],0),"")</f>
        <v/>
      </c>
      <c r="M132" s="574" t="str">
        <f>IFERROR(IF(AND(Table1323[[#This Row],[Integrated Controls Capable]],Table1323[[#This Row],[Fixture Integrated Occupancy/Daylight Harvesting Sensors?]]="Yes"),"per integrated luminaire", INDEX(Table1[Rebate Unit],MATCH(Table1323[[#This Row],[Rebate Category]],Table1[BC Hydro Rebate Category],0))),"")</f>
        <v/>
      </c>
      <c r="N132" s="207"/>
      <c r="O132" s="207"/>
      <c r="P132" s="206"/>
      <c r="Q132" s="209">
        <f>IFERROR(Table1323[[#This Row],[Rebate per luminaire, ($)]]*Table1323[[#This Row],[Quantity of luminaires or lamps]],0)</f>
        <v>0</v>
      </c>
      <c r="R13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32" s="211" t="str">
        <f>IFERROR(IF(Table1323[[#This Row],[Quantity of luminaires or lamps]]="","",IF(Table1323[[#This Row],[Controls Rebate]]="",0,Table1323[[#This Row],[Controls Rebate]])+Table1323[[#This Row],[Lighting Rebate]]),"")</f>
        <v/>
      </c>
      <c r="T13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32" s="213">
        <f>IFERROR(Table1323[[#This Row],[Rebate kW Savings]]*Table1323[[#This Row],[Annual hours from space type]],0)</f>
        <v>0</v>
      </c>
      <c r="V13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32" s="213">
        <f>Table1323[[#This Row],[Rebate kWh savings]]+Table1323[[#This Row],[Controls Rebate kWh Savings]]</f>
        <v>0</v>
      </c>
      <c r="X132" s="214" t="str">
        <f>IFERROR(IF(Table1323[[#This Row],[Quantity of luminaires or lamps]]="","",Table1323[[#This Row],[Rebate kW Savings]]),0)</f>
        <v/>
      </c>
      <c r="Y132" s="215" t="str">
        <f>IFERROR(IF(Table1323[[#This Row],[Quantity of luminaires or lamps]]="","",Table1323[[#This Row],[Total Lighting Rebate Energy Savings]]),0)</f>
        <v/>
      </c>
      <c r="Z132" s="207"/>
      <c r="AA132" s="18" t="str">
        <f>IF(Table1323[[#This Row],[Selected for Implementation]]="Yes",IF(Table1323[[#This Row],[No]]="","",(CONCATENATE("Light_"&amp;Table1323[[#This Row],[Rebate Category]]&amp;Table1323[[#This Row],[LED lamp/luminaire retrofit part '#]]))),"")</f>
        <v/>
      </c>
      <c r="AB132" s="20" t="str" cm="1">
        <f t="array" ref="AB132">IFERROR(IF(Table1323[[#This Row],[Annual hours from space type]]&gt;=Table14[],Table1323[[#This Row],[Demand Savings, kW]],0),0)</f>
        <v/>
      </c>
      <c r="AC132" s="19" t="str">
        <f>IFERROR(INDEX(Table1[BC Hydro xRM ECM],MATCH(Table1323[[#This Row],[Rebate Category]],Table1[BC Hydro Rebate Category],0)),"")</f>
        <v/>
      </c>
      <c r="AD132" s="18">
        <f>IF(Table1323[[#This Row],[Selected for Implementation]]="Yes",1,0)</f>
        <v>0</v>
      </c>
      <c r="AE132" s="18" t="e">
        <f>Table1323[[#This Row],[Implement]]*Table1323[[#This Row],[Demand Savings, kW]]</f>
        <v>#VALUE!</v>
      </c>
      <c r="AF132" s="18" t="e">
        <f>Table1323[[#This Row],[Implement]]*Table1323[[#This Row],[BCH Peak kW]]</f>
        <v>#VALUE!</v>
      </c>
      <c r="AG132" s="18">
        <f>Table1323[[#This Row],[Implement]]*Table1323[[#This Row],[Rebate kWh savings]]</f>
        <v>0</v>
      </c>
      <c r="AH132" s="18">
        <f>Table1323[[#This Row],[Implement]]*Table1323[[#This Row],[Controls Rebate kWh Savings]]</f>
        <v>0</v>
      </c>
      <c r="AI132" s="233">
        <f>Table1323[[#This Row],[Implement]]*Table1323[[#This Row],[Controls Rebate]]</f>
        <v>0</v>
      </c>
      <c r="AJ132" s="569">
        <f>IF(Table1323[[#This Row],[iControls Incentives]]&gt;0,Table1323[[#This Row],[Number of  sensors]],0)</f>
        <v>0</v>
      </c>
      <c r="AK132" s="233">
        <f>Table1323[[#This Row],[Implement]]*Table1323[[#This Row],[Lighting Rebate]]</f>
        <v>0</v>
      </c>
    </row>
    <row r="133" spans="2:37" ht="32.15" customHeight="1" x14ac:dyDescent="0.3">
      <c r="B133" s="17" t="str">
        <f>IF(Table1323[[#This Row],[Space Type]]="","","L-"&amp;ROW(127:127))</f>
        <v/>
      </c>
      <c r="C133" s="206"/>
      <c r="D133" s="207"/>
      <c r="E133" s="207"/>
      <c r="F133" s="207"/>
      <c r="G133" s="208" t="str">
        <f>IFERROR(IF(Table1323[[#This Row],[No]]="","",IF(Table1323[[#This Row],[Space Type]]="","select Space Type",INDEX(Table5[Hours],MATCH(Table1323[[#This Row],[Space Type]],Table5[Space Type],0)))),"")</f>
        <v/>
      </c>
      <c r="H133" s="207"/>
      <c r="I133" s="207"/>
      <c r="J133" s="613" t="str">
        <f>IFERROR(INDEX(Table1[Integrated Controls Capable],MATCH(Table1323[[#This Row],[Rebate Category]],Table1[BC Hydro Rebate Category],0)),"")</f>
        <v/>
      </c>
      <c r="K133" s="207"/>
      <c r="L133" s="572" t="str" cm="1">
        <f t="array" ref="L133">IFERROR(INDEX(Table1[Rebate],MATCH(Table1323[[#This Row],[Rebate Category]],Table1[BC Hydro Rebate Category],0))+IF(AND(Table1323[[#This Row],[Integrated Controls Capable]],Table1323[[#This Row],[Fixture Integrated Occupancy/Daylight Harvesting Sensors?]]="Yes"),Table6[],0),"")</f>
        <v/>
      </c>
      <c r="M133" s="574" t="str">
        <f>IFERROR(IF(AND(Table1323[[#This Row],[Integrated Controls Capable]],Table1323[[#This Row],[Fixture Integrated Occupancy/Daylight Harvesting Sensors?]]="Yes"),"per integrated luminaire", INDEX(Table1[Rebate Unit],MATCH(Table1323[[#This Row],[Rebate Category]],Table1[BC Hydro Rebate Category],0))),"")</f>
        <v/>
      </c>
      <c r="N133" s="207"/>
      <c r="O133" s="207"/>
      <c r="P133" s="206"/>
      <c r="Q133" s="209">
        <f>IFERROR(Table1323[[#This Row],[Rebate per luminaire, ($)]]*Table1323[[#This Row],[Quantity of luminaires or lamps]],0)</f>
        <v>0</v>
      </c>
      <c r="R13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33" s="211" t="str">
        <f>IFERROR(IF(Table1323[[#This Row],[Quantity of luminaires or lamps]]="","",IF(Table1323[[#This Row],[Controls Rebate]]="",0,Table1323[[#This Row],[Controls Rebate]])+Table1323[[#This Row],[Lighting Rebate]]),"")</f>
        <v/>
      </c>
      <c r="T13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33" s="213">
        <f>IFERROR(Table1323[[#This Row],[Rebate kW Savings]]*Table1323[[#This Row],[Annual hours from space type]],0)</f>
        <v>0</v>
      </c>
      <c r="V13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33" s="213">
        <f>Table1323[[#This Row],[Rebate kWh savings]]+Table1323[[#This Row],[Controls Rebate kWh Savings]]</f>
        <v>0</v>
      </c>
      <c r="X133" s="214" t="str">
        <f>IFERROR(IF(Table1323[[#This Row],[Quantity of luminaires or lamps]]="","",Table1323[[#This Row],[Rebate kW Savings]]),0)</f>
        <v/>
      </c>
      <c r="Y133" s="215" t="str">
        <f>IFERROR(IF(Table1323[[#This Row],[Quantity of luminaires or lamps]]="","",Table1323[[#This Row],[Total Lighting Rebate Energy Savings]]),0)</f>
        <v/>
      </c>
      <c r="Z133" s="207"/>
      <c r="AA133" s="18" t="str">
        <f>IF(Table1323[[#This Row],[Selected for Implementation]]="Yes",IF(Table1323[[#This Row],[No]]="","",(CONCATENATE("Light_"&amp;Table1323[[#This Row],[Rebate Category]]&amp;Table1323[[#This Row],[LED lamp/luminaire retrofit part '#]]))),"")</f>
        <v/>
      </c>
      <c r="AB133" s="20" t="str" cm="1">
        <f t="array" ref="AB133">IFERROR(IF(Table1323[[#This Row],[Annual hours from space type]]&gt;=Table14[],Table1323[[#This Row],[Demand Savings, kW]],0),0)</f>
        <v/>
      </c>
      <c r="AC133" s="19" t="str">
        <f>IFERROR(INDEX(Table1[BC Hydro xRM ECM],MATCH(Table1323[[#This Row],[Rebate Category]],Table1[BC Hydro Rebate Category],0)),"")</f>
        <v/>
      </c>
      <c r="AD133" s="18">
        <f>IF(Table1323[[#This Row],[Selected for Implementation]]="Yes",1,0)</f>
        <v>0</v>
      </c>
      <c r="AE133" s="18" t="e">
        <f>Table1323[[#This Row],[Implement]]*Table1323[[#This Row],[Demand Savings, kW]]</f>
        <v>#VALUE!</v>
      </c>
      <c r="AF133" s="18" t="e">
        <f>Table1323[[#This Row],[Implement]]*Table1323[[#This Row],[BCH Peak kW]]</f>
        <v>#VALUE!</v>
      </c>
      <c r="AG133" s="18">
        <f>Table1323[[#This Row],[Implement]]*Table1323[[#This Row],[Rebate kWh savings]]</f>
        <v>0</v>
      </c>
      <c r="AH133" s="18">
        <f>Table1323[[#This Row],[Implement]]*Table1323[[#This Row],[Controls Rebate kWh Savings]]</f>
        <v>0</v>
      </c>
      <c r="AI133" s="233">
        <f>Table1323[[#This Row],[Implement]]*Table1323[[#This Row],[Controls Rebate]]</f>
        <v>0</v>
      </c>
      <c r="AJ133" s="569">
        <f>IF(Table1323[[#This Row],[iControls Incentives]]&gt;0,Table1323[[#This Row],[Number of  sensors]],0)</f>
        <v>0</v>
      </c>
      <c r="AK133" s="233">
        <f>Table1323[[#This Row],[Implement]]*Table1323[[#This Row],[Lighting Rebate]]</f>
        <v>0</v>
      </c>
    </row>
    <row r="134" spans="2:37" ht="32.15" customHeight="1" x14ac:dyDescent="0.3">
      <c r="B134" s="17" t="str">
        <f>IF(Table1323[[#This Row],[Space Type]]="","","L-"&amp;ROW(128:128))</f>
        <v/>
      </c>
      <c r="C134" s="206"/>
      <c r="D134" s="207"/>
      <c r="E134" s="207"/>
      <c r="F134" s="207"/>
      <c r="G134" s="208" t="str">
        <f>IFERROR(IF(Table1323[[#This Row],[No]]="","",IF(Table1323[[#This Row],[Space Type]]="","select Space Type",INDEX(Table5[Hours],MATCH(Table1323[[#This Row],[Space Type]],Table5[Space Type],0)))),"")</f>
        <v/>
      </c>
      <c r="H134" s="207"/>
      <c r="I134" s="207"/>
      <c r="J134" s="613" t="str">
        <f>IFERROR(INDEX(Table1[Integrated Controls Capable],MATCH(Table1323[[#This Row],[Rebate Category]],Table1[BC Hydro Rebate Category],0)),"")</f>
        <v/>
      </c>
      <c r="K134" s="207"/>
      <c r="L134" s="572" t="str" cm="1">
        <f t="array" ref="L134">IFERROR(INDEX(Table1[Rebate],MATCH(Table1323[[#This Row],[Rebate Category]],Table1[BC Hydro Rebate Category],0))+IF(AND(Table1323[[#This Row],[Integrated Controls Capable]],Table1323[[#This Row],[Fixture Integrated Occupancy/Daylight Harvesting Sensors?]]="Yes"),Table6[],0),"")</f>
        <v/>
      </c>
      <c r="M134" s="574" t="str">
        <f>IFERROR(IF(AND(Table1323[[#This Row],[Integrated Controls Capable]],Table1323[[#This Row],[Fixture Integrated Occupancy/Daylight Harvesting Sensors?]]="Yes"),"per integrated luminaire", INDEX(Table1[Rebate Unit],MATCH(Table1323[[#This Row],[Rebate Category]],Table1[BC Hydro Rebate Category],0))),"")</f>
        <v/>
      </c>
      <c r="N134" s="207"/>
      <c r="O134" s="207"/>
      <c r="P134" s="206"/>
      <c r="Q134" s="209">
        <f>IFERROR(Table1323[[#This Row],[Rebate per luminaire, ($)]]*Table1323[[#This Row],[Quantity of luminaires or lamps]],0)</f>
        <v>0</v>
      </c>
      <c r="R13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34" s="211" t="str">
        <f>IFERROR(IF(Table1323[[#This Row],[Quantity of luminaires or lamps]]="","",IF(Table1323[[#This Row],[Controls Rebate]]="",0,Table1323[[#This Row],[Controls Rebate]])+Table1323[[#This Row],[Lighting Rebate]]),"")</f>
        <v/>
      </c>
      <c r="T13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34" s="213">
        <f>IFERROR(Table1323[[#This Row],[Rebate kW Savings]]*Table1323[[#This Row],[Annual hours from space type]],0)</f>
        <v>0</v>
      </c>
      <c r="V13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34" s="213">
        <f>Table1323[[#This Row],[Rebate kWh savings]]+Table1323[[#This Row],[Controls Rebate kWh Savings]]</f>
        <v>0</v>
      </c>
      <c r="X134" s="214" t="str">
        <f>IFERROR(IF(Table1323[[#This Row],[Quantity of luminaires or lamps]]="","",Table1323[[#This Row],[Rebate kW Savings]]),0)</f>
        <v/>
      </c>
      <c r="Y134" s="215" t="str">
        <f>IFERROR(IF(Table1323[[#This Row],[Quantity of luminaires or lamps]]="","",Table1323[[#This Row],[Total Lighting Rebate Energy Savings]]),0)</f>
        <v/>
      </c>
      <c r="Z134" s="207"/>
      <c r="AA134" s="18" t="str">
        <f>IF(Table1323[[#This Row],[Selected for Implementation]]="Yes",IF(Table1323[[#This Row],[No]]="","",(CONCATENATE("Light_"&amp;Table1323[[#This Row],[Rebate Category]]&amp;Table1323[[#This Row],[LED lamp/luminaire retrofit part '#]]))),"")</f>
        <v/>
      </c>
      <c r="AB134" s="20" t="str" cm="1">
        <f t="array" ref="AB134">IFERROR(IF(Table1323[[#This Row],[Annual hours from space type]]&gt;=Table14[],Table1323[[#This Row],[Demand Savings, kW]],0),0)</f>
        <v/>
      </c>
      <c r="AC134" s="19" t="str">
        <f>IFERROR(INDEX(Table1[BC Hydro xRM ECM],MATCH(Table1323[[#This Row],[Rebate Category]],Table1[BC Hydro Rebate Category],0)),"")</f>
        <v/>
      </c>
      <c r="AD134" s="18">
        <f>IF(Table1323[[#This Row],[Selected for Implementation]]="Yes",1,0)</f>
        <v>0</v>
      </c>
      <c r="AE134" s="18" t="e">
        <f>Table1323[[#This Row],[Implement]]*Table1323[[#This Row],[Demand Savings, kW]]</f>
        <v>#VALUE!</v>
      </c>
      <c r="AF134" s="18" t="e">
        <f>Table1323[[#This Row],[Implement]]*Table1323[[#This Row],[BCH Peak kW]]</f>
        <v>#VALUE!</v>
      </c>
      <c r="AG134" s="18">
        <f>Table1323[[#This Row],[Implement]]*Table1323[[#This Row],[Rebate kWh savings]]</f>
        <v>0</v>
      </c>
      <c r="AH134" s="18">
        <f>Table1323[[#This Row],[Implement]]*Table1323[[#This Row],[Controls Rebate kWh Savings]]</f>
        <v>0</v>
      </c>
      <c r="AI134" s="233">
        <f>Table1323[[#This Row],[Implement]]*Table1323[[#This Row],[Controls Rebate]]</f>
        <v>0</v>
      </c>
      <c r="AJ134" s="569">
        <f>IF(Table1323[[#This Row],[iControls Incentives]]&gt;0,Table1323[[#This Row],[Number of  sensors]],0)</f>
        <v>0</v>
      </c>
      <c r="AK134" s="233">
        <f>Table1323[[#This Row],[Implement]]*Table1323[[#This Row],[Lighting Rebate]]</f>
        <v>0</v>
      </c>
    </row>
    <row r="135" spans="2:37" ht="32.15" customHeight="1" x14ac:dyDescent="0.3">
      <c r="B135" s="17" t="str">
        <f>IF(Table1323[[#This Row],[Space Type]]="","","L-"&amp;ROW(129:129))</f>
        <v/>
      </c>
      <c r="C135" s="206"/>
      <c r="D135" s="207"/>
      <c r="E135" s="207"/>
      <c r="F135" s="207"/>
      <c r="G135" s="208" t="str">
        <f>IFERROR(IF(Table1323[[#This Row],[No]]="","",IF(Table1323[[#This Row],[Space Type]]="","select Space Type",INDEX(Table5[Hours],MATCH(Table1323[[#This Row],[Space Type]],Table5[Space Type],0)))),"")</f>
        <v/>
      </c>
      <c r="H135" s="207"/>
      <c r="I135" s="207"/>
      <c r="J135" s="613" t="str">
        <f>IFERROR(INDEX(Table1[Integrated Controls Capable],MATCH(Table1323[[#This Row],[Rebate Category]],Table1[BC Hydro Rebate Category],0)),"")</f>
        <v/>
      </c>
      <c r="K135" s="207"/>
      <c r="L135" s="572" t="str" cm="1">
        <f t="array" ref="L135">IFERROR(INDEX(Table1[Rebate],MATCH(Table1323[[#This Row],[Rebate Category]],Table1[BC Hydro Rebate Category],0))+IF(AND(Table1323[[#This Row],[Integrated Controls Capable]],Table1323[[#This Row],[Fixture Integrated Occupancy/Daylight Harvesting Sensors?]]="Yes"),Table6[],0),"")</f>
        <v/>
      </c>
      <c r="M135" s="574" t="str">
        <f>IFERROR(IF(AND(Table1323[[#This Row],[Integrated Controls Capable]],Table1323[[#This Row],[Fixture Integrated Occupancy/Daylight Harvesting Sensors?]]="Yes"),"per integrated luminaire", INDEX(Table1[Rebate Unit],MATCH(Table1323[[#This Row],[Rebate Category]],Table1[BC Hydro Rebate Category],0))),"")</f>
        <v/>
      </c>
      <c r="N135" s="207"/>
      <c r="O135" s="207"/>
      <c r="P135" s="206"/>
      <c r="Q135" s="209">
        <f>IFERROR(Table1323[[#This Row],[Rebate per luminaire, ($)]]*Table1323[[#This Row],[Quantity of luminaires or lamps]],0)</f>
        <v>0</v>
      </c>
      <c r="R13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35" s="211" t="str">
        <f>IFERROR(IF(Table1323[[#This Row],[Quantity of luminaires or lamps]]="","",IF(Table1323[[#This Row],[Controls Rebate]]="",0,Table1323[[#This Row],[Controls Rebate]])+Table1323[[#This Row],[Lighting Rebate]]),"")</f>
        <v/>
      </c>
      <c r="T13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35" s="213">
        <f>IFERROR(Table1323[[#This Row],[Rebate kW Savings]]*Table1323[[#This Row],[Annual hours from space type]],0)</f>
        <v>0</v>
      </c>
      <c r="V13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35" s="213">
        <f>Table1323[[#This Row],[Rebate kWh savings]]+Table1323[[#This Row],[Controls Rebate kWh Savings]]</f>
        <v>0</v>
      </c>
      <c r="X135" s="214" t="str">
        <f>IFERROR(IF(Table1323[[#This Row],[Quantity of luminaires or lamps]]="","",Table1323[[#This Row],[Rebate kW Savings]]),0)</f>
        <v/>
      </c>
      <c r="Y135" s="215" t="str">
        <f>IFERROR(IF(Table1323[[#This Row],[Quantity of luminaires or lamps]]="","",Table1323[[#This Row],[Total Lighting Rebate Energy Savings]]),0)</f>
        <v/>
      </c>
      <c r="Z135" s="207"/>
      <c r="AA135" s="18" t="str">
        <f>IF(Table1323[[#This Row],[Selected for Implementation]]="Yes",IF(Table1323[[#This Row],[No]]="","",(CONCATENATE("Light_"&amp;Table1323[[#This Row],[Rebate Category]]&amp;Table1323[[#This Row],[LED lamp/luminaire retrofit part '#]]))),"")</f>
        <v/>
      </c>
      <c r="AB135" s="20" t="str" cm="1">
        <f t="array" ref="AB135">IFERROR(IF(Table1323[[#This Row],[Annual hours from space type]]&gt;=Table14[],Table1323[[#This Row],[Demand Savings, kW]],0),0)</f>
        <v/>
      </c>
      <c r="AC135" s="19" t="str">
        <f>IFERROR(INDEX(Table1[BC Hydro xRM ECM],MATCH(Table1323[[#This Row],[Rebate Category]],Table1[BC Hydro Rebate Category],0)),"")</f>
        <v/>
      </c>
      <c r="AD135" s="18">
        <f>IF(Table1323[[#This Row],[Selected for Implementation]]="Yes",1,0)</f>
        <v>0</v>
      </c>
      <c r="AE135" s="18" t="e">
        <f>Table1323[[#This Row],[Implement]]*Table1323[[#This Row],[Demand Savings, kW]]</f>
        <v>#VALUE!</v>
      </c>
      <c r="AF135" s="18" t="e">
        <f>Table1323[[#This Row],[Implement]]*Table1323[[#This Row],[BCH Peak kW]]</f>
        <v>#VALUE!</v>
      </c>
      <c r="AG135" s="18">
        <f>Table1323[[#This Row],[Implement]]*Table1323[[#This Row],[Rebate kWh savings]]</f>
        <v>0</v>
      </c>
      <c r="AH135" s="18">
        <f>Table1323[[#This Row],[Implement]]*Table1323[[#This Row],[Controls Rebate kWh Savings]]</f>
        <v>0</v>
      </c>
      <c r="AI135" s="233">
        <f>Table1323[[#This Row],[Implement]]*Table1323[[#This Row],[Controls Rebate]]</f>
        <v>0</v>
      </c>
      <c r="AJ135" s="569">
        <f>IF(Table1323[[#This Row],[iControls Incentives]]&gt;0,Table1323[[#This Row],[Number of  sensors]],0)</f>
        <v>0</v>
      </c>
      <c r="AK135" s="233">
        <f>Table1323[[#This Row],[Implement]]*Table1323[[#This Row],[Lighting Rebate]]</f>
        <v>0</v>
      </c>
    </row>
    <row r="136" spans="2:37" ht="32.15" customHeight="1" x14ac:dyDescent="0.3">
      <c r="B136" s="17" t="str">
        <f>IF(Table1323[[#This Row],[Space Type]]="","","L-"&amp;ROW(130:130))</f>
        <v/>
      </c>
      <c r="C136" s="206"/>
      <c r="D136" s="207"/>
      <c r="E136" s="207"/>
      <c r="F136" s="207"/>
      <c r="G136" s="208" t="str">
        <f>IFERROR(IF(Table1323[[#This Row],[No]]="","",IF(Table1323[[#This Row],[Space Type]]="","select Space Type",INDEX(Table5[Hours],MATCH(Table1323[[#This Row],[Space Type]],Table5[Space Type],0)))),"")</f>
        <v/>
      </c>
      <c r="H136" s="207"/>
      <c r="I136" s="207"/>
      <c r="J136" s="613" t="str">
        <f>IFERROR(INDEX(Table1[Integrated Controls Capable],MATCH(Table1323[[#This Row],[Rebate Category]],Table1[BC Hydro Rebate Category],0)),"")</f>
        <v/>
      </c>
      <c r="K136" s="207"/>
      <c r="L136" s="572" t="str" cm="1">
        <f t="array" ref="L136">IFERROR(INDEX(Table1[Rebate],MATCH(Table1323[[#This Row],[Rebate Category]],Table1[BC Hydro Rebate Category],0))+IF(AND(Table1323[[#This Row],[Integrated Controls Capable]],Table1323[[#This Row],[Fixture Integrated Occupancy/Daylight Harvesting Sensors?]]="Yes"),Table6[],0),"")</f>
        <v/>
      </c>
      <c r="M136" s="574" t="str">
        <f>IFERROR(IF(AND(Table1323[[#This Row],[Integrated Controls Capable]],Table1323[[#This Row],[Fixture Integrated Occupancy/Daylight Harvesting Sensors?]]="Yes"),"per integrated luminaire", INDEX(Table1[Rebate Unit],MATCH(Table1323[[#This Row],[Rebate Category]],Table1[BC Hydro Rebate Category],0))),"")</f>
        <v/>
      </c>
      <c r="N136" s="207"/>
      <c r="O136" s="207"/>
      <c r="P136" s="206"/>
      <c r="Q136" s="209">
        <f>IFERROR(Table1323[[#This Row],[Rebate per luminaire, ($)]]*Table1323[[#This Row],[Quantity of luminaires or lamps]],0)</f>
        <v>0</v>
      </c>
      <c r="R13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36" s="211" t="str">
        <f>IFERROR(IF(Table1323[[#This Row],[Quantity of luminaires or lamps]]="","",IF(Table1323[[#This Row],[Controls Rebate]]="",0,Table1323[[#This Row],[Controls Rebate]])+Table1323[[#This Row],[Lighting Rebate]]),"")</f>
        <v/>
      </c>
      <c r="T13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36" s="213">
        <f>IFERROR(Table1323[[#This Row],[Rebate kW Savings]]*Table1323[[#This Row],[Annual hours from space type]],0)</f>
        <v>0</v>
      </c>
      <c r="V13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36" s="213">
        <f>Table1323[[#This Row],[Rebate kWh savings]]+Table1323[[#This Row],[Controls Rebate kWh Savings]]</f>
        <v>0</v>
      </c>
      <c r="X136" s="214" t="str">
        <f>IFERROR(IF(Table1323[[#This Row],[Quantity of luminaires or lamps]]="","",Table1323[[#This Row],[Rebate kW Savings]]),0)</f>
        <v/>
      </c>
      <c r="Y136" s="215" t="str">
        <f>IFERROR(IF(Table1323[[#This Row],[Quantity of luminaires or lamps]]="","",Table1323[[#This Row],[Total Lighting Rebate Energy Savings]]),0)</f>
        <v/>
      </c>
      <c r="Z136" s="207"/>
      <c r="AA136" s="18" t="str">
        <f>IF(Table1323[[#This Row],[Selected for Implementation]]="Yes",IF(Table1323[[#This Row],[No]]="","",(CONCATENATE("Light_"&amp;Table1323[[#This Row],[Rebate Category]]&amp;Table1323[[#This Row],[LED lamp/luminaire retrofit part '#]]))),"")</f>
        <v/>
      </c>
      <c r="AB136" s="20" t="str" cm="1">
        <f t="array" ref="AB136">IFERROR(IF(Table1323[[#This Row],[Annual hours from space type]]&gt;=Table14[],Table1323[[#This Row],[Demand Savings, kW]],0),0)</f>
        <v/>
      </c>
      <c r="AC136" s="19" t="str">
        <f>IFERROR(INDEX(Table1[BC Hydro xRM ECM],MATCH(Table1323[[#This Row],[Rebate Category]],Table1[BC Hydro Rebate Category],0)),"")</f>
        <v/>
      </c>
      <c r="AD136" s="18">
        <f>IF(Table1323[[#This Row],[Selected for Implementation]]="Yes",1,0)</f>
        <v>0</v>
      </c>
      <c r="AE136" s="18" t="e">
        <f>Table1323[[#This Row],[Implement]]*Table1323[[#This Row],[Demand Savings, kW]]</f>
        <v>#VALUE!</v>
      </c>
      <c r="AF136" s="18" t="e">
        <f>Table1323[[#This Row],[Implement]]*Table1323[[#This Row],[BCH Peak kW]]</f>
        <v>#VALUE!</v>
      </c>
      <c r="AG136" s="18">
        <f>Table1323[[#This Row],[Implement]]*Table1323[[#This Row],[Rebate kWh savings]]</f>
        <v>0</v>
      </c>
      <c r="AH136" s="18">
        <f>Table1323[[#This Row],[Implement]]*Table1323[[#This Row],[Controls Rebate kWh Savings]]</f>
        <v>0</v>
      </c>
      <c r="AI136" s="233">
        <f>Table1323[[#This Row],[Implement]]*Table1323[[#This Row],[Controls Rebate]]</f>
        <v>0</v>
      </c>
      <c r="AJ136" s="569">
        <f>IF(Table1323[[#This Row],[iControls Incentives]]&gt;0,Table1323[[#This Row],[Number of  sensors]],0)</f>
        <v>0</v>
      </c>
      <c r="AK136" s="233">
        <f>Table1323[[#This Row],[Implement]]*Table1323[[#This Row],[Lighting Rebate]]</f>
        <v>0</v>
      </c>
    </row>
    <row r="137" spans="2:37" ht="32.15" customHeight="1" x14ac:dyDescent="0.3">
      <c r="B137" s="17" t="str">
        <f>IF(Table1323[[#This Row],[Space Type]]="","","L-"&amp;ROW(131:131))</f>
        <v/>
      </c>
      <c r="C137" s="206"/>
      <c r="D137" s="207"/>
      <c r="E137" s="207"/>
      <c r="F137" s="207"/>
      <c r="G137" s="208" t="str">
        <f>IFERROR(IF(Table1323[[#This Row],[No]]="","",IF(Table1323[[#This Row],[Space Type]]="","select Space Type",INDEX(Table5[Hours],MATCH(Table1323[[#This Row],[Space Type]],Table5[Space Type],0)))),"")</f>
        <v/>
      </c>
      <c r="H137" s="207"/>
      <c r="I137" s="207"/>
      <c r="J137" s="613" t="str">
        <f>IFERROR(INDEX(Table1[Integrated Controls Capable],MATCH(Table1323[[#This Row],[Rebate Category]],Table1[BC Hydro Rebate Category],0)),"")</f>
        <v/>
      </c>
      <c r="K137" s="207"/>
      <c r="L137" s="572" t="str" cm="1">
        <f t="array" ref="L137">IFERROR(INDEX(Table1[Rebate],MATCH(Table1323[[#This Row],[Rebate Category]],Table1[BC Hydro Rebate Category],0))+IF(AND(Table1323[[#This Row],[Integrated Controls Capable]],Table1323[[#This Row],[Fixture Integrated Occupancy/Daylight Harvesting Sensors?]]="Yes"),Table6[],0),"")</f>
        <v/>
      </c>
      <c r="M137" s="574" t="str">
        <f>IFERROR(IF(AND(Table1323[[#This Row],[Integrated Controls Capable]],Table1323[[#This Row],[Fixture Integrated Occupancy/Daylight Harvesting Sensors?]]="Yes"),"per integrated luminaire", INDEX(Table1[Rebate Unit],MATCH(Table1323[[#This Row],[Rebate Category]],Table1[BC Hydro Rebate Category],0))),"")</f>
        <v/>
      </c>
      <c r="N137" s="207"/>
      <c r="O137" s="207"/>
      <c r="P137" s="206"/>
      <c r="Q137" s="209">
        <f>IFERROR(Table1323[[#This Row],[Rebate per luminaire, ($)]]*Table1323[[#This Row],[Quantity of luminaires or lamps]],0)</f>
        <v>0</v>
      </c>
      <c r="R13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37" s="211" t="str">
        <f>IFERROR(IF(Table1323[[#This Row],[Quantity of luminaires or lamps]]="","",IF(Table1323[[#This Row],[Controls Rebate]]="",0,Table1323[[#This Row],[Controls Rebate]])+Table1323[[#This Row],[Lighting Rebate]]),"")</f>
        <v/>
      </c>
      <c r="T13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37" s="213">
        <f>IFERROR(Table1323[[#This Row],[Rebate kW Savings]]*Table1323[[#This Row],[Annual hours from space type]],0)</f>
        <v>0</v>
      </c>
      <c r="V13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37" s="213">
        <f>Table1323[[#This Row],[Rebate kWh savings]]+Table1323[[#This Row],[Controls Rebate kWh Savings]]</f>
        <v>0</v>
      </c>
      <c r="X137" s="214" t="str">
        <f>IFERROR(IF(Table1323[[#This Row],[Quantity of luminaires or lamps]]="","",Table1323[[#This Row],[Rebate kW Savings]]),0)</f>
        <v/>
      </c>
      <c r="Y137" s="215" t="str">
        <f>IFERROR(IF(Table1323[[#This Row],[Quantity of luminaires or lamps]]="","",Table1323[[#This Row],[Total Lighting Rebate Energy Savings]]),0)</f>
        <v/>
      </c>
      <c r="Z137" s="207"/>
      <c r="AA137" s="18" t="str">
        <f>IF(Table1323[[#This Row],[Selected for Implementation]]="Yes",IF(Table1323[[#This Row],[No]]="","",(CONCATENATE("Light_"&amp;Table1323[[#This Row],[Rebate Category]]&amp;Table1323[[#This Row],[LED lamp/luminaire retrofit part '#]]))),"")</f>
        <v/>
      </c>
      <c r="AB137" s="20" t="str" cm="1">
        <f t="array" ref="AB137">IFERROR(IF(Table1323[[#This Row],[Annual hours from space type]]&gt;=Table14[],Table1323[[#This Row],[Demand Savings, kW]],0),0)</f>
        <v/>
      </c>
      <c r="AC137" s="19" t="str">
        <f>IFERROR(INDEX(Table1[BC Hydro xRM ECM],MATCH(Table1323[[#This Row],[Rebate Category]],Table1[BC Hydro Rebate Category],0)),"")</f>
        <v/>
      </c>
      <c r="AD137" s="18">
        <f>IF(Table1323[[#This Row],[Selected for Implementation]]="Yes",1,0)</f>
        <v>0</v>
      </c>
      <c r="AE137" s="18" t="e">
        <f>Table1323[[#This Row],[Implement]]*Table1323[[#This Row],[Demand Savings, kW]]</f>
        <v>#VALUE!</v>
      </c>
      <c r="AF137" s="18" t="e">
        <f>Table1323[[#This Row],[Implement]]*Table1323[[#This Row],[BCH Peak kW]]</f>
        <v>#VALUE!</v>
      </c>
      <c r="AG137" s="18">
        <f>Table1323[[#This Row],[Implement]]*Table1323[[#This Row],[Rebate kWh savings]]</f>
        <v>0</v>
      </c>
      <c r="AH137" s="18">
        <f>Table1323[[#This Row],[Implement]]*Table1323[[#This Row],[Controls Rebate kWh Savings]]</f>
        <v>0</v>
      </c>
      <c r="AI137" s="233">
        <f>Table1323[[#This Row],[Implement]]*Table1323[[#This Row],[Controls Rebate]]</f>
        <v>0</v>
      </c>
      <c r="AJ137" s="569">
        <f>IF(Table1323[[#This Row],[iControls Incentives]]&gt;0,Table1323[[#This Row],[Number of  sensors]],0)</f>
        <v>0</v>
      </c>
      <c r="AK137" s="233">
        <f>Table1323[[#This Row],[Implement]]*Table1323[[#This Row],[Lighting Rebate]]</f>
        <v>0</v>
      </c>
    </row>
    <row r="138" spans="2:37" ht="32.15" customHeight="1" x14ac:dyDescent="0.3">
      <c r="B138" s="17" t="str">
        <f>IF(Table1323[[#This Row],[Space Type]]="","","L-"&amp;ROW(132:132))</f>
        <v/>
      </c>
      <c r="C138" s="206"/>
      <c r="D138" s="207"/>
      <c r="E138" s="207"/>
      <c r="F138" s="207"/>
      <c r="G138" s="208" t="str">
        <f>IFERROR(IF(Table1323[[#This Row],[No]]="","",IF(Table1323[[#This Row],[Space Type]]="","select Space Type",INDEX(Table5[Hours],MATCH(Table1323[[#This Row],[Space Type]],Table5[Space Type],0)))),"")</f>
        <v/>
      </c>
      <c r="H138" s="207"/>
      <c r="I138" s="207"/>
      <c r="J138" s="613" t="str">
        <f>IFERROR(INDEX(Table1[Integrated Controls Capable],MATCH(Table1323[[#This Row],[Rebate Category]],Table1[BC Hydro Rebate Category],0)),"")</f>
        <v/>
      </c>
      <c r="K138" s="207"/>
      <c r="L138" s="572" t="str" cm="1">
        <f t="array" ref="L138">IFERROR(INDEX(Table1[Rebate],MATCH(Table1323[[#This Row],[Rebate Category]],Table1[BC Hydro Rebate Category],0))+IF(AND(Table1323[[#This Row],[Integrated Controls Capable]],Table1323[[#This Row],[Fixture Integrated Occupancy/Daylight Harvesting Sensors?]]="Yes"),Table6[],0),"")</f>
        <v/>
      </c>
      <c r="M138" s="574" t="str">
        <f>IFERROR(IF(AND(Table1323[[#This Row],[Integrated Controls Capable]],Table1323[[#This Row],[Fixture Integrated Occupancy/Daylight Harvesting Sensors?]]="Yes"),"per integrated luminaire", INDEX(Table1[Rebate Unit],MATCH(Table1323[[#This Row],[Rebate Category]],Table1[BC Hydro Rebate Category],0))),"")</f>
        <v/>
      </c>
      <c r="N138" s="207"/>
      <c r="O138" s="207"/>
      <c r="P138" s="206"/>
      <c r="Q138" s="209">
        <f>IFERROR(Table1323[[#This Row],[Rebate per luminaire, ($)]]*Table1323[[#This Row],[Quantity of luminaires or lamps]],0)</f>
        <v>0</v>
      </c>
      <c r="R13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38" s="211" t="str">
        <f>IFERROR(IF(Table1323[[#This Row],[Quantity of luminaires or lamps]]="","",IF(Table1323[[#This Row],[Controls Rebate]]="",0,Table1323[[#This Row],[Controls Rebate]])+Table1323[[#This Row],[Lighting Rebate]]),"")</f>
        <v/>
      </c>
      <c r="T13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38" s="213">
        <f>IFERROR(Table1323[[#This Row],[Rebate kW Savings]]*Table1323[[#This Row],[Annual hours from space type]],0)</f>
        <v>0</v>
      </c>
      <c r="V13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38" s="213">
        <f>Table1323[[#This Row],[Rebate kWh savings]]+Table1323[[#This Row],[Controls Rebate kWh Savings]]</f>
        <v>0</v>
      </c>
      <c r="X138" s="214" t="str">
        <f>IFERROR(IF(Table1323[[#This Row],[Quantity of luminaires or lamps]]="","",Table1323[[#This Row],[Rebate kW Savings]]),0)</f>
        <v/>
      </c>
      <c r="Y138" s="215" t="str">
        <f>IFERROR(IF(Table1323[[#This Row],[Quantity of luminaires or lamps]]="","",Table1323[[#This Row],[Total Lighting Rebate Energy Savings]]),0)</f>
        <v/>
      </c>
      <c r="Z138" s="207"/>
      <c r="AA138" s="18" t="str">
        <f>IF(Table1323[[#This Row],[Selected for Implementation]]="Yes",IF(Table1323[[#This Row],[No]]="","",(CONCATENATE("Light_"&amp;Table1323[[#This Row],[Rebate Category]]&amp;Table1323[[#This Row],[LED lamp/luminaire retrofit part '#]]))),"")</f>
        <v/>
      </c>
      <c r="AB138" s="20" t="str" cm="1">
        <f t="array" ref="AB138">IFERROR(IF(Table1323[[#This Row],[Annual hours from space type]]&gt;=Table14[],Table1323[[#This Row],[Demand Savings, kW]],0),0)</f>
        <v/>
      </c>
      <c r="AC138" s="19" t="str">
        <f>IFERROR(INDEX(Table1[BC Hydro xRM ECM],MATCH(Table1323[[#This Row],[Rebate Category]],Table1[BC Hydro Rebate Category],0)),"")</f>
        <v/>
      </c>
      <c r="AD138" s="18">
        <f>IF(Table1323[[#This Row],[Selected for Implementation]]="Yes",1,0)</f>
        <v>0</v>
      </c>
      <c r="AE138" s="18" t="e">
        <f>Table1323[[#This Row],[Implement]]*Table1323[[#This Row],[Demand Savings, kW]]</f>
        <v>#VALUE!</v>
      </c>
      <c r="AF138" s="18" t="e">
        <f>Table1323[[#This Row],[Implement]]*Table1323[[#This Row],[BCH Peak kW]]</f>
        <v>#VALUE!</v>
      </c>
      <c r="AG138" s="18">
        <f>Table1323[[#This Row],[Implement]]*Table1323[[#This Row],[Rebate kWh savings]]</f>
        <v>0</v>
      </c>
      <c r="AH138" s="18">
        <f>Table1323[[#This Row],[Implement]]*Table1323[[#This Row],[Controls Rebate kWh Savings]]</f>
        <v>0</v>
      </c>
      <c r="AI138" s="233">
        <f>Table1323[[#This Row],[Implement]]*Table1323[[#This Row],[Controls Rebate]]</f>
        <v>0</v>
      </c>
      <c r="AJ138" s="569">
        <f>IF(Table1323[[#This Row],[iControls Incentives]]&gt;0,Table1323[[#This Row],[Number of  sensors]],0)</f>
        <v>0</v>
      </c>
      <c r="AK138" s="233">
        <f>Table1323[[#This Row],[Implement]]*Table1323[[#This Row],[Lighting Rebate]]</f>
        <v>0</v>
      </c>
    </row>
    <row r="139" spans="2:37" ht="32.15" customHeight="1" x14ac:dyDescent="0.3">
      <c r="B139" s="17" t="str">
        <f>IF(Table1323[[#This Row],[Space Type]]="","","L-"&amp;ROW(133:133))</f>
        <v/>
      </c>
      <c r="C139" s="206"/>
      <c r="D139" s="207"/>
      <c r="E139" s="207"/>
      <c r="F139" s="207"/>
      <c r="G139" s="208" t="str">
        <f>IFERROR(IF(Table1323[[#This Row],[No]]="","",IF(Table1323[[#This Row],[Space Type]]="","select Space Type",INDEX(Table5[Hours],MATCH(Table1323[[#This Row],[Space Type]],Table5[Space Type],0)))),"")</f>
        <v/>
      </c>
      <c r="H139" s="207"/>
      <c r="I139" s="207"/>
      <c r="J139" s="613" t="str">
        <f>IFERROR(INDEX(Table1[Integrated Controls Capable],MATCH(Table1323[[#This Row],[Rebate Category]],Table1[BC Hydro Rebate Category],0)),"")</f>
        <v/>
      </c>
      <c r="K139" s="207"/>
      <c r="L139" s="572" t="str" cm="1">
        <f t="array" ref="L139">IFERROR(INDEX(Table1[Rebate],MATCH(Table1323[[#This Row],[Rebate Category]],Table1[BC Hydro Rebate Category],0))+IF(AND(Table1323[[#This Row],[Integrated Controls Capable]],Table1323[[#This Row],[Fixture Integrated Occupancy/Daylight Harvesting Sensors?]]="Yes"),Table6[],0),"")</f>
        <v/>
      </c>
      <c r="M139" s="574" t="str">
        <f>IFERROR(IF(AND(Table1323[[#This Row],[Integrated Controls Capable]],Table1323[[#This Row],[Fixture Integrated Occupancy/Daylight Harvesting Sensors?]]="Yes"),"per integrated luminaire", INDEX(Table1[Rebate Unit],MATCH(Table1323[[#This Row],[Rebate Category]],Table1[BC Hydro Rebate Category],0))),"")</f>
        <v/>
      </c>
      <c r="N139" s="207"/>
      <c r="O139" s="207"/>
      <c r="P139" s="206"/>
      <c r="Q139" s="209">
        <f>IFERROR(Table1323[[#This Row],[Rebate per luminaire, ($)]]*Table1323[[#This Row],[Quantity of luminaires or lamps]],0)</f>
        <v>0</v>
      </c>
      <c r="R13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39" s="211" t="str">
        <f>IFERROR(IF(Table1323[[#This Row],[Quantity of luminaires or lamps]]="","",IF(Table1323[[#This Row],[Controls Rebate]]="",0,Table1323[[#This Row],[Controls Rebate]])+Table1323[[#This Row],[Lighting Rebate]]),"")</f>
        <v/>
      </c>
      <c r="T13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39" s="213">
        <f>IFERROR(Table1323[[#This Row],[Rebate kW Savings]]*Table1323[[#This Row],[Annual hours from space type]],0)</f>
        <v>0</v>
      </c>
      <c r="V13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39" s="213">
        <f>Table1323[[#This Row],[Rebate kWh savings]]+Table1323[[#This Row],[Controls Rebate kWh Savings]]</f>
        <v>0</v>
      </c>
      <c r="X139" s="214" t="str">
        <f>IFERROR(IF(Table1323[[#This Row],[Quantity of luminaires or lamps]]="","",Table1323[[#This Row],[Rebate kW Savings]]),0)</f>
        <v/>
      </c>
      <c r="Y139" s="215" t="str">
        <f>IFERROR(IF(Table1323[[#This Row],[Quantity of luminaires or lamps]]="","",Table1323[[#This Row],[Total Lighting Rebate Energy Savings]]),0)</f>
        <v/>
      </c>
      <c r="Z139" s="207"/>
      <c r="AA139" s="18" t="str">
        <f>IF(Table1323[[#This Row],[Selected for Implementation]]="Yes",IF(Table1323[[#This Row],[No]]="","",(CONCATENATE("Light_"&amp;Table1323[[#This Row],[Rebate Category]]&amp;Table1323[[#This Row],[LED lamp/luminaire retrofit part '#]]))),"")</f>
        <v/>
      </c>
      <c r="AB139" s="20" t="str" cm="1">
        <f t="array" ref="AB139">IFERROR(IF(Table1323[[#This Row],[Annual hours from space type]]&gt;=Table14[],Table1323[[#This Row],[Demand Savings, kW]],0),0)</f>
        <v/>
      </c>
      <c r="AC139" s="19" t="str">
        <f>IFERROR(INDEX(Table1[BC Hydro xRM ECM],MATCH(Table1323[[#This Row],[Rebate Category]],Table1[BC Hydro Rebate Category],0)),"")</f>
        <v/>
      </c>
      <c r="AD139" s="18">
        <f>IF(Table1323[[#This Row],[Selected for Implementation]]="Yes",1,0)</f>
        <v>0</v>
      </c>
      <c r="AE139" s="18" t="e">
        <f>Table1323[[#This Row],[Implement]]*Table1323[[#This Row],[Demand Savings, kW]]</f>
        <v>#VALUE!</v>
      </c>
      <c r="AF139" s="18" t="e">
        <f>Table1323[[#This Row],[Implement]]*Table1323[[#This Row],[BCH Peak kW]]</f>
        <v>#VALUE!</v>
      </c>
      <c r="AG139" s="18">
        <f>Table1323[[#This Row],[Implement]]*Table1323[[#This Row],[Rebate kWh savings]]</f>
        <v>0</v>
      </c>
      <c r="AH139" s="18">
        <f>Table1323[[#This Row],[Implement]]*Table1323[[#This Row],[Controls Rebate kWh Savings]]</f>
        <v>0</v>
      </c>
      <c r="AI139" s="233">
        <f>Table1323[[#This Row],[Implement]]*Table1323[[#This Row],[Controls Rebate]]</f>
        <v>0</v>
      </c>
      <c r="AJ139" s="569">
        <f>IF(Table1323[[#This Row],[iControls Incentives]]&gt;0,Table1323[[#This Row],[Number of  sensors]],0)</f>
        <v>0</v>
      </c>
      <c r="AK139" s="233">
        <f>Table1323[[#This Row],[Implement]]*Table1323[[#This Row],[Lighting Rebate]]</f>
        <v>0</v>
      </c>
    </row>
    <row r="140" spans="2:37" ht="32.15" customHeight="1" x14ac:dyDescent="0.3">
      <c r="B140" s="17" t="str">
        <f>IF(Table1323[[#This Row],[Space Type]]="","","L-"&amp;ROW(134:134))</f>
        <v/>
      </c>
      <c r="C140" s="206"/>
      <c r="D140" s="207"/>
      <c r="E140" s="207"/>
      <c r="F140" s="207"/>
      <c r="G140" s="208" t="str">
        <f>IFERROR(IF(Table1323[[#This Row],[No]]="","",IF(Table1323[[#This Row],[Space Type]]="","select Space Type",INDEX(Table5[Hours],MATCH(Table1323[[#This Row],[Space Type]],Table5[Space Type],0)))),"")</f>
        <v/>
      </c>
      <c r="H140" s="207"/>
      <c r="I140" s="207"/>
      <c r="J140" s="613" t="str">
        <f>IFERROR(INDEX(Table1[Integrated Controls Capable],MATCH(Table1323[[#This Row],[Rebate Category]],Table1[BC Hydro Rebate Category],0)),"")</f>
        <v/>
      </c>
      <c r="K140" s="207"/>
      <c r="L140" s="572" t="str" cm="1">
        <f t="array" ref="L140">IFERROR(INDEX(Table1[Rebate],MATCH(Table1323[[#This Row],[Rebate Category]],Table1[BC Hydro Rebate Category],0))+IF(AND(Table1323[[#This Row],[Integrated Controls Capable]],Table1323[[#This Row],[Fixture Integrated Occupancy/Daylight Harvesting Sensors?]]="Yes"),Table6[],0),"")</f>
        <v/>
      </c>
      <c r="M140" s="574" t="str">
        <f>IFERROR(IF(AND(Table1323[[#This Row],[Integrated Controls Capable]],Table1323[[#This Row],[Fixture Integrated Occupancy/Daylight Harvesting Sensors?]]="Yes"),"per integrated luminaire", INDEX(Table1[Rebate Unit],MATCH(Table1323[[#This Row],[Rebate Category]],Table1[BC Hydro Rebate Category],0))),"")</f>
        <v/>
      </c>
      <c r="N140" s="207"/>
      <c r="O140" s="207"/>
      <c r="P140" s="206"/>
      <c r="Q140" s="209">
        <f>IFERROR(Table1323[[#This Row],[Rebate per luminaire, ($)]]*Table1323[[#This Row],[Quantity of luminaires or lamps]],0)</f>
        <v>0</v>
      </c>
      <c r="R14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40" s="211" t="str">
        <f>IFERROR(IF(Table1323[[#This Row],[Quantity of luminaires or lamps]]="","",IF(Table1323[[#This Row],[Controls Rebate]]="",0,Table1323[[#This Row],[Controls Rebate]])+Table1323[[#This Row],[Lighting Rebate]]),"")</f>
        <v/>
      </c>
      <c r="T14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40" s="213">
        <f>IFERROR(Table1323[[#This Row],[Rebate kW Savings]]*Table1323[[#This Row],[Annual hours from space type]],0)</f>
        <v>0</v>
      </c>
      <c r="V14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40" s="213">
        <f>Table1323[[#This Row],[Rebate kWh savings]]+Table1323[[#This Row],[Controls Rebate kWh Savings]]</f>
        <v>0</v>
      </c>
      <c r="X140" s="214" t="str">
        <f>IFERROR(IF(Table1323[[#This Row],[Quantity of luminaires or lamps]]="","",Table1323[[#This Row],[Rebate kW Savings]]),0)</f>
        <v/>
      </c>
      <c r="Y140" s="215" t="str">
        <f>IFERROR(IF(Table1323[[#This Row],[Quantity of luminaires or lamps]]="","",Table1323[[#This Row],[Total Lighting Rebate Energy Savings]]),0)</f>
        <v/>
      </c>
      <c r="Z140" s="207"/>
      <c r="AA140" s="18" t="str">
        <f>IF(Table1323[[#This Row],[Selected for Implementation]]="Yes",IF(Table1323[[#This Row],[No]]="","",(CONCATENATE("Light_"&amp;Table1323[[#This Row],[Rebate Category]]&amp;Table1323[[#This Row],[LED lamp/luminaire retrofit part '#]]))),"")</f>
        <v/>
      </c>
      <c r="AB140" s="20" t="str" cm="1">
        <f t="array" ref="AB140">IFERROR(IF(Table1323[[#This Row],[Annual hours from space type]]&gt;=Table14[],Table1323[[#This Row],[Demand Savings, kW]],0),0)</f>
        <v/>
      </c>
      <c r="AC140" s="19" t="str">
        <f>IFERROR(INDEX(Table1[BC Hydro xRM ECM],MATCH(Table1323[[#This Row],[Rebate Category]],Table1[BC Hydro Rebate Category],0)),"")</f>
        <v/>
      </c>
      <c r="AD140" s="18">
        <f>IF(Table1323[[#This Row],[Selected for Implementation]]="Yes",1,0)</f>
        <v>0</v>
      </c>
      <c r="AE140" s="18" t="e">
        <f>Table1323[[#This Row],[Implement]]*Table1323[[#This Row],[Demand Savings, kW]]</f>
        <v>#VALUE!</v>
      </c>
      <c r="AF140" s="18" t="e">
        <f>Table1323[[#This Row],[Implement]]*Table1323[[#This Row],[BCH Peak kW]]</f>
        <v>#VALUE!</v>
      </c>
      <c r="AG140" s="18">
        <f>Table1323[[#This Row],[Implement]]*Table1323[[#This Row],[Rebate kWh savings]]</f>
        <v>0</v>
      </c>
      <c r="AH140" s="18">
        <f>Table1323[[#This Row],[Implement]]*Table1323[[#This Row],[Controls Rebate kWh Savings]]</f>
        <v>0</v>
      </c>
      <c r="AI140" s="233">
        <f>Table1323[[#This Row],[Implement]]*Table1323[[#This Row],[Controls Rebate]]</f>
        <v>0</v>
      </c>
      <c r="AJ140" s="569">
        <f>IF(Table1323[[#This Row],[iControls Incentives]]&gt;0,Table1323[[#This Row],[Number of  sensors]],0)</f>
        <v>0</v>
      </c>
      <c r="AK140" s="233">
        <f>Table1323[[#This Row],[Implement]]*Table1323[[#This Row],[Lighting Rebate]]</f>
        <v>0</v>
      </c>
    </row>
    <row r="141" spans="2:37" ht="32.15" customHeight="1" x14ac:dyDescent="0.3">
      <c r="B141" s="17" t="str">
        <f>IF(Table1323[[#This Row],[Space Type]]="","","L-"&amp;ROW(135:135))</f>
        <v/>
      </c>
      <c r="C141" s="206"/>
      <c r="D141" s="207"/>
      <c r="E141" s="207"/>
      <c r="F141" s="207"/>
      <c r="G141" s="208" t="str">
        <f>IFERROR(IF(Table1323[[#This Row],[No]]="","",IF(Table1323[[#This Row],[Space Type]]="","select Space Type",INDEX(Table5[Hours],MATCH(Table1323[[#This Row],[Space Type]],Table5[Space Type],0)))),"")</f>
        <v/>
      </c>
      <c r="H141" s="207"/>
      <c r="I141" s="207"/>
      <c r="J141" s="613" t="str">
        <f>IFERROR(INDEX(Table1[Integrated Controls Capable],MATCH(Table1323[[#This Row],[Rebate Category]],Table1[BC Hydro Rebate Category],0)),"")</f>
        <v/>
      </c>
      <c r="K141" s="207"/>
      <c r="L141" s="572" t="str" cm="1">
        <f t="array" ref="L141">IFERROR(INDEX(Table1[Rebate],MATCH(Table1323[[#This Row],[Rebate Category]],Table1[BC Hydro Rebate Category],0))+IF(AND(Table1323[[#This Row],[Integrated Controls Capable]],Table1323[[#This Row],[Fixture Integrated Occupancy/Daylight Harvesting Sensors?]]="Yes"),Table6[],0),"")</f>
        <v/>
      </c>
      <c r="M141" s="574" t="str">
        <f>IFERROR(IF(AND(Table1323[[#This Row],[Integrated Controls Capable]],Table1323[[#This Row],[Fixture Integrated Occupancy/Daylight Harvesting Sensors?]]="Yes"),"per integrated luminaire", INDEX(Table1[Rebate Unit],MATCH(Table1323[[#This Row],[Rebate Category]],Table1[BC Hydro Rebate Category],0))),"")</f>
        <v/>
      </c>
      <c r="N141" s="207"/>
      <c r="O141" s="207"/>
      <c r="P141" s="206"/>
      <c r="Q141" s="209">
        <f>IFERROR(Table1323[[#This Row],[Rebate per luminaire, ($)]]*Table1323[[#This Row],[Quantity of luminaires or lamps]],0)</f>
        <v>0</v>
      </c>
      <c r="R14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41" s="211" t="str">
        <f>IFERROR(IF(Table1323[[#This Row],[Quantity of luminaires or lamps]]="","",IF(Table1323[[#This Row],[Controls Rebate]]="",0,Table1323[[#This Row],[Controls Rebate]])+Table1323[[#This Row],[Lighting Rebate]]),"")</f>
        <v/>
      </c>
      <c r="T14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41" s="213">
        <f>IFERROR(Table1323[[#This Row],[Rebate kW Savings]]*Table1323[[#This Row],[Annual hours from space type]],0)</f>
        <v>0</v>
      </c>
      <c r="V14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41" s="213">
        <f>Table1323[[#This Row],[Rebate kWh savings]]+Table1323[[#This Row],[Controls Rebate kWh Savings]]</f>
        <v>0</v>
      </c>
      <c r="X141" s="214" t="str">
        <f>IFERROR(IF(Table1323[[#This Row],[Quantity of luminaires or lamps]]="","",Table1323[[#This Row],[Rebate kW Savings]]),0)</f>
        <v/>
      </c>
      <c r="Y141" s="215" t="str">
        <f>IFERROR(IF(Table1323[[#This Row],[Quantity of luminaires or lamps]]="","",Table1323[[#This Row],[Total Lighting Rebate Energy Savings]]),0)</f>
        <v/>
      </c>
      <c r="Z141" s="207"/>
      <c r="AA141" s="18" t="str">
        <f>IF(Table1323[[#This Row],[Selected for Implementation]]="Yes",IF(Table1323[[#This Row],[No]]="","",(CONCATENATE("Light_"&amp;Table1323[[#This Row],[Rebate Category]]&amp;Table1323[[#This Row],[LED lamp/luminaire retrofit part '#]]))),"")</f>
        <v/>
      </c>
      <c r="AB141" s="20" t="str" cm="1">
        <f t="array" ref="AB141">IFERROR(IF(Table1323[[#This Row],[Annual hours from space type]]&gt;=Table14[],Table1323[[#This Row],[Demand Savings, kW]],0),0)</f>
        <v/>
      </c>
      <c r="AC141" s="19" t="str">
        <f>IFERROR(INDEX(Table1[BC Hydro xRM ECM],MATCH(Table1323[[#This Row],[Rebate Category]],Table1[BC Hydro Rebate Category],0)),"")</f>
        <v/>
      </c>
      <c r="AD141" s="18">
        <f>IF(Table1323[[#This Row],[Selected for Implementation]]="Yes",1,0)</f>
        <v>0</v>
      </c>
      <c r="AE141" s="18" t="e">
        <f>Table1323[[#This Row],[Implement]]*Table1323[[#This Row],[Demand Savings, kW]]</f>
        <v>#VALUE!</v>
      </c>
      <c r="AF141" s="18" t="e">
        <f>Table1323[[#This Row],[Implement]]*Table1323[[#This Row],[BCH Peak kW]]</f>
        <v>#VALUE!</v>
      </c>
      <c r="AG141" s="18">
        <f>Table1323[[#This Row],[Implement]]*Table1323[[#This Row],[Rebate kWh savings]]</f>
        <v>0</v>
      </c>
      <c r="AH141" s="18">
        <f>Table1323[[#This Row],[Implement]]*Table1323[[#This Row],[Controls Rebate kWh Savings]]</f>
        <v>0</v>
      </c>
      <c r="AI141" s="233">
        <f>Table1323[[#This Row],[Implement]]*Table1323[[#This Row],[Controls Rebate]]</f>
        <v>0</v>
      </c>
      <c r="AJ141" s="569">
        <f>IF(Table1323[[#This Row],[iControls Incentives]]&gt;0,Table1323[[#This Row],[Number of  sensors]],0)</f>
        <v>0</v>
      </c>
      <c r="AK141" s="233">
        <f>Table1323[[#This Row],[Implement]]*Table1323[[#This Row],[Lighting Rebate]]</f>
        <v>0</v>
      </c>
    </row>
    <row r="142" spans="2:37" ht="32.15" customHeight="1" x14ac:dyDescent="0.3">
      <c r="B142" s="17" t="str">
        <f>IF(Table1323[[#This Row],[Space Type]]="","","L-"&amp;ROW(136:136))</f>
        <v/>
      </c>
      <c r="C142" s="206"/>
      <c r="D142" s="207"/>
      <c r="E142" s="207"/>
      <c r="F142" s="207"/>
      <c r="G142" s="208" t="str">
        <f>IFERROR(IF(Table1323[[#This Row],[No]]="","",IF(Table1323[[#This Row],[Space Type]]="","select Space Type",INDEX(Table5[Hours],MATCH(Table1323[[#This Row],[Space Type]],Table5[Space Type],0)))),"")</f>
        <v/>
      </c>
      <c r="H142" s="207"/>
      <c r="I142" s="207"/>
      <c r="J142" s="613" t="str">
        <f>IFERROR(INDEX(Table1[Integrated Controls Capable],MATCH(Table1323[[#This Row],[Rebate Category]],Table1[BC Hydro Rebate Category],0)),"")</f>
        <v/>
      </c>
      <c r="K142" s="207"/>
      <c r="L142" s="572" t="str" cm="1">
        <f t="array" ref="L142">IFERROR(INDEX(Table1[Rebate],MATCH(Table1323[[#This Row],[Rebate Category]],Table1[BC Hydro Rebate Category],0))+IF(AND(Table1323[[#This Row],[Integrated Controls Capable]],Table1323[[#This Row],[Fixture Integrated Occupancy/Daylight Harvesting Sensors?]]="Yes"),Table6[],0),"")</f>
        <v/>
      </c>
      <c r="M142" s="574" t="str">
        <f>IFERROR(IF(AND(Table1323[[#This Row],[Integrated Controls Capable]],Table1323[[#This Row],[Fixture Integrated Occupancy/Daylight Harvesting Sensors?]]="Yes"),"per integrated luminaire", INDEX(Table1[Rebate Unit],MATCH(Table1323[[#This Row],[Rebate Category]],Table1[BC Hydro Rebate Category],0))),"")</f>
        <v/>
      </c>
      <c r="N142" s="207"/>
      <c r="O142" s="207"/>
      <c r="P142" s="206"/>
      <c r="Q142" s="209">
        <f>IFERROR(Table1323[[#This Row],[Rebate per luminaire, ($)]]*Table1323[[#This Row],[Quantity of luminaires or lamps]],0)</f>
        <v>0</v>
      </c>
      <c r="R14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42" s="211" t="str">
        <f>IFERROR(IF(Table1323[[#This Row],[Quantity of luminaires or lamps]]="","",IF(Table1323[[#This Row],[Controls Rebate]]="",0,Table1323[[#This Row],[Controls Rebate]])+Table1323[[#This Row],[Lighting Rebate]]),"")</f>
        <v/>
      </c>
      <c r="T14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42" s="213">
        <f>IFERROR(Table1323[[#This Row],[Rebate kW Savings]]*Table1323[[#This Row],[Annual hours from space type]],0)</f>
        <v>0</v>
      </c>
      <c r="V14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42" s="213">
        <f>Table1323[[#This Row],[Rebate kWh savings]]+Table1323[[#This Row],[Controls Rebate kWh Savings]]</f>
        <v>0</v>
      </c>
      <c r="X142" s="214" t="str">
        <f>IFERROR(IF(Table1323[[#This Row],[Quantity of luminaires or lamps]]="","",Table1323[[#This Row],[Rebate kW Savings]]),0)</f>
        <v/>
      </c>
      <c r="Y142" s="215" t="str">
        <f>IFERROR(IF(Table1323[[#This Row],[Quantity of luminaires or lamps]]="","",Table1323[[#This Row],[Total Lighting Rebate Energy Savings]]),0)</f>
        <v/>
      </c>
      <c r="Z142" s="207"/>
      <c r="AA142" s="18" t="str">
        <f>IF(Table1323[[#This Row],[Selected for Implementation]]="Yes",IF(Table1323[[#This Row],[No]]="","",(CONCATENATE("Light_"&amp;Table1323[[#This Row],[Rebate Category]]&amp;Table1323[[#This Row],[LED lamp/luminaire retrofit part '#]]))),"")</f>
        <v/>
      </c>
      <c r="AB142" s="20" t="str" cm="1">
        <f t="array" ref="AB142">IFERROR(IF(Table1323[[#This Row],[Annual hours from space type]]&gt;=Table14[],Table1323[[#This Row],[Demand Savings, kW]],0),0)</f>
        <v/>
      </c>
      <c r="AC142" s="19" t="str">
        <f>IFERROR(INDEX(Table1[BC Hydro xRM ECM],MATCH(Table1323[[#This Row],[Rebate Category]],Table1[BC Hydro Rebate Category],0)),"")</f>
        <v/>
      </c>
      <c r="AD142" s="18">
        <f>IF(Table1323[[#This Row],[Selected for Implementation]]="Yes",1,0)</f>
        <v>0</v>
      </c>
      <c r="AE142" s="18" t="e">
        <f>Table1323[[#This Row],[Implement]]*Table1323[[#This Row],[Demand Savings, kW]]</f>
        <v>#VALUE!</v>
      </c>
      <c r="AF142" s="18" t="e">
        <f>Table1323[[#This Row],[Implement]]*Table1323[[#This Row],[BCH Peak kW]]</f>
        <v>#VALUE!</v>
      </c>
      <c r="AG142" s="18">
        <f>Table1323[[#This Row],[Implement]]*Table1323[[#This Row],[Rebate kWh savings]]</f>
        <v>0</v>
      </c>
      <c r="AH142" s="18">
        <f>Table1323[[#This Row],[Implement]]*Table1323[[#This Row],[Controls Rebate kWh Savings]]</f>
        <v>0</v>
      </c>
      <c r="AI142" s="233">
        <f>Table1323[[#This Row],[Implement]]*Table1323[[#This Row],[Controls Rebate]]</f>
        <v>0</v>
      </c>
      <c r="AJ142" s="569">
        <f>IF(Table1323[[#This Row],[iControls Incentives]]&gt;0,Table1323[[#This Row],[Number of  sensors]],0)</f>
        <v>0</v>
      </c>
      <c r="AK142" s="233">
        <f>Table1323[[#This Row],[Implement]]*Table1323[[#This Row],[Lighting Rebate]]</f>
        <v>0</v>
      </c>
    </row>
    <row r="143" spans="2:37" ht="32.15" customHeight="1" x14ac:dyDescent="0.3">
      <c r="B143" s="17" t="str">
        <f>IF(Table1323[[#This Row],[Space Type]]="","","L-"&amp;ROW(137:137))</f>
        <v/>
      </c>
      <c r="C143" s="206"/>
      <c r="D143" s="207"/>
      <c r="E143" s="207"/>
      <c r="F143" s="207"/>
      <c r="G143" s="208" t="str">
        <f>IFERROR(IF(Table1323[[#This Row],[No]]="","",IF(Table1323[[#This Row],[Space Type]]="","select Space Type",INDEX(Table5[Hours],MATCH(Table1323[[#This Row],[Space Type]],Table5[Space Type],0)))),"")</f>
        <v/>
      </c>
      <c r="H143" s="207"/>
      <c r="I143" s="207"/>
      <c r="J143" s="613" t="str">
        <f>IFERROR(INDEX(Table1[Integrated Controls Capable],MATCH(Table1323[[#This Row],[Rebate Category]],Table1[BC Hydro Rebate Category],0)),"")</f>
        <v/>
      </c>
      <c r="K143" s="207"/>
      <c r="L143" s="572" t="str" cm="1">
        <f t="array" ref="L143">IFERROR(INDEX(Table1[Rebate],MATCH(Table1323[[#This Row],[Rebate Category]],Table1[BC Hydro Rebate Category],0))+IF(AND(Table1323[[#This Row],[Integrated Controls Capable]],Table1323[[#This Row],[Fixture Integrated Occupancy/Daylight Harvesting Sensors?]]="Yes"),Table6[],0),"")</f>
        <v/>
      </c>
      <c r="M143" s="574" t="str">
        <f>IFERROR(IF(AND(Table1323[[#This Row],[Integrated Controls Capable]],Table1323[[#This Row],[Fixture Integrated Occupancy/Daylight Harvesting Sensors?]]="Yes"),"per integrated luminaire", INDEX(Table1[Rebate Unit],MATCH(Table1323[[#This Row],[Rebate Category]],Table1[BC Hydro Rebate Category],0))),"")</f>
        <v/>
      </c>
      <c r="N143" s="207"/>
      <c r="O143" s="207"/>
      <c r="P143" s="206"/>
      <c r="Q143" s="209">
        <f>IFERROR(Table1323[[#This Row],[Rebate per luminaire, ($)]]*Table1323[[#This Row],[Quantity of luminaires or lamps]],0)</f>
        <v>0</v>
      </c>
      <c r="R14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43" s="211" t="str">
        <f>IFERROR(IF(Table1323[[#This Row],[Quantity of luminaires or lamps]]="","",IF(Table1323[[#This Row],[Controls Rebate]]="",0,Table1323[[#This Row],[Controls Rebate]])+Table1323[[#This Row],[Lighting Rebate]]),"")</f>
        <v/>
      </c>
      <c r="T14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43" s="213">
        <f>IFERROR(Table1323[[#This Row],[Rebate kW Savings]]*Table1323[[#This Row],[Annual hours from space type]],0)</f>
        <v>0</v>
      </c>
      <c r="V14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43" s="213">
        <f>Table1323[[#This Row],[Rebate kWh savings]]+Table1323[[#This Row],[Controls Rebate kWh Savings]]</f>
        <v>0</v>
      </c>
      <c r="X143" s="214" t="str">
        <f>IFERROR(IF(Table1323[[#This Row],[Quantity of luminaires or lamps]]="","",Table1323[[#This Row],[Rebate kW Savings]]),0)</f>
        <v/>
      </c>
      <c r="Y143" s="215" t="str">
        <f>IFERROR(IF(Table1323[[#This Row],[Quantity of luminaires or lamps]]="","",Table1323[[#This Row],[Total Lighting Rebate Energy Savings]]),0)</f>
        <v/>
      </c>
      <c r="Z143" s="207"/>
      <c r="AA143" s="18" t="str">
        <f>IF(Table1323[[#This Row],[Selected for Implementation]]="Yes",IF(Table1323[[#This Row],[No]]="","",(CONCATENATE("Light_"&amp;Table1323[[#This Row],[Rebate Category]]&amp;Table1323[[#This Row],[LED lamp/luminaire retrofit part '#]]))),"")</f>
        <v/>
      </c>
      <c r="AB143" s="20" t="str" cm="1">
        <f t="array" ref="AB143">IFERROR(IF(Table1323[[#This Row],[Annual hours from space type]]&gt;=Table14[],Table1323[[#This Row],[Demand Savings, kW]],0),0)</f>
        <v/>
      </c>
      <c r="AC143" s="19" t="str">
        <f>IFERROR(INDEX(Table1[BC Hydro xRM ECM],MATCH(Table1323[[#This Row],[Rebate Category]],Table1[BC Hydro Rebate Category],0)),"")</f>
        <v/>
      </c>
      <c r="AD143" s="18">
        <f>IF(Table1323[[#This Row],[Selected for Implementation]]="Yes",1,0)</f>
        <v>0</v>
      </c>
      <c r="AE143" s="18" t="e">
        <f>Table1323[[#This Row],[Implement]]*Table1323[[#This Row],[Demand Savings, kW]]</f>
        <v>#VALUE!</v>
      </c>
      <c r="AF143" s="18" t="e">
        <f>Table1323[[#This Row],[Implement]]*Table1323[[#This Row],[BCH Peak kW]]</f>
        <v>#VALUE!</v>
      </c>
      <c r="AG143" s="18">
        <f>Table1323[[#This Row],[Implement]]*Table1323[[#This Row],[Rebate kWh savings]]</f>
        <v>0</v>
      </c>
      <c r="AH143" s="18">
        <f>Table1323[[#This Row],[Implement]]*Table1323[[#This Row],[Controls Rebate kWh Savings]]</f>
        <v>0</v>
      </c>
      <c r="AI143" s="233">
        <f>Table1323[[#This Row],[Implement]]*Table1323[[#This Row],[Controls Rebate]]</f>
        <v>0</v>
      </c>
      <c r="AJ143" s="569">
        <f>IF(Table1323[[#This Row],[iControls Incentives]]&gt;0,Table1323[[#This Row],[Number of  sensors]],0)</f>
        <v>0</v>
      </c>
      <c r="AK143" s="233">
        <f>Table1323[[#This Row],[Implement]]*Table1323[[#This Row],[Lighting Rebate]]</f>
        <v>0</v>
      </c>
    </row>
    <row r="144" spans="2:37" ht="32.15" customHeight="1" x14ac:dyDescent="0.3">
      <c r="B144" s="17" t="str">
        <f>IF(Table1323[[#This Row],[Space Type]]="","","L-"&amp;ROW(138:138))</f>
        <v/>
      </c>
      <c r="C144" s="206"/>
      <c r="D144" s="207"/>
      <c r="E144" s="207"/>
      <c r="F144" s="207"/>
      <c r="G144" s="208" t="str">
        <f>IFERROR(IF(Table1323[[#This Row],[No]]="","",IF(Table1323[[#This Row],[Space Type]]="","select Space Type",INDEX(Table5[Hours],MATCH(Table1323[[#This Row],[Space Type]],Table5[Space Type],0)))),"")</f>
        <v/>
      </c>
      <c r="H144" s="207"/>
      <c r="I144" s="207"/>
      <c r="J144" s="613" t="str">
        <f>IFERROR(INDEX(Table1[Integrated Controls Capable],MATCH(Table1323[[#This Row],[Rebate Category]],Table1[BC Hydro Rebate Category],0)),"")</f>
        <v/>
      </c>
      <c r="K144" s="207"/>
      <c r="L144" s="572" t="str" cm="1">
        <f t="array" ref="L144">IFERROR(INDEX(Table1[Rebate],MATCH(Table1323[[#This Row],[Rebate Category]],Table1[BC Hydro Rebate Category],0))+IF(AND(Table1323[[#This Row],[Integrated Controls Capable]],Table1323[[#This Row],[Fixture Integrated Occupancy/Daylight Harvesting Sensors?]]="Yes"),Table6[],0),"")</f>
        <v/>
      </c>
      <c r="M144" s="574" t="str">
        <f>IFERROR(IF(AND(Table1323[[#This Row],[Integrated Controls Capable]],Table1323[[#This Row],[Fixture Integrated Occupancy/Daylight Harvesting Sensors?]]="Yes"),"per integrated luminaire", INDEX(Table1[Rebate Unit],MATCH(Table1323[[#This Row],[Rebate Category]],Table1[BC Hydro Rebate Category],0))),"")</f>
        <v/>
      </c>
      <c r="N144" s="207"/>
      <c r="O144" s="207"/>
      <c r="P144" s="206"/>
      <c r="Q144" s="209">
        <f>IFERROR(Table1323[[#This Row],[Rebate per luminaire, ($)]]*Table1323[[#This Row],[Quantity of luminaires or lamps]],0)</f>
        <v>0</v>
      </c>
      <c r="R14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44" s="211" t="str">
        <f>IFERROR(IF(Table1323[[#This Row],[Quantity of luminaires or lamps]]="","",IF(Table1323[[#This Row],[Controls Rebate]]="",0,Table1323[[#This Row],[Controls Rebate]])+Table1323[[#This Row],[Lighting Rebate]]),"")</f>
        <v/>
      </c>
      <c r="T14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44" s="213">
        <f>IFERROR(Table1323[[#This Row],[Rebate kW Savings]]*Table1323[[#This Row],[Annual hours from space type]],0)</f>
        <v>0</v>
      </c>
      <c r="V14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44" s="213">
        <f>Table1323[[#This Row],[Rebate kWh savings]]+Table1323[[#This Row],[Controls Rebate kWh Savings]]</f>
        <v>0</v>
      </c>
      <c r="X144" s="214" t="str">
        <f>IFERROR(IF(Table1323[[#This Row],[Quantity of luminaires or lamps]]="","",Table1323[[#This Row],[Rebate kW Savings]]),0)</f>
        <v/>
      </c>
      <c r="Y144" s="215" t="str">
        <f>IFERROR(IF(Table1323[[#This Row],[Quantity of luminaires or lamps]]="","",Table1323[[#This Row],[Total Lighting Rebate Energy Savings]]),0)</f>
        <v/>
      </c>
      <c r="Z144" s="207"/>
      <c r="AA144" s="18" t="str">
        <f>IF(Table1323[[#This Row],[Selected for Implementation]]="Yes",IF(Table1323[[#This Row],[No]]="","",(CONCATENATE("Light_"&amp;Table1323[[#This Row],[Rebate Category]]&amp;Table1323[[#This Row],[LED lamp/luminaire retrofit part '#]]))),"")</f>
        <v/>
      </c>
      <c r="AB144" s="20" t="str" cm="1">
        <f t="array" ref="AB144">IFERROR(IF(Table1323[[#This Row],[Annual hours from space type]]&gt;=Table14[],Table1323[[#This Row],[Demand Savings, kW]],0),0)</f>
        <v/>
      </c>
      <c r="AC144" s="19" t="str">
        <f>IFERROR(INDEX(Table1[BC Hydro xRM ECM],MATCH(Table1323[[#This Row],[Rebate Category]],Table1[BC Hydro Rebate Category],0)),"")</f>
        <v/>
      </c>
      <c r="AD144" s="18">
        <f>IF(Table1323[[#This Row],[Selected for Implementation]]="Yes",1,0)</f>
        <v>0</v>
      </c>
      <c r="AE144" s="18" t="e">
        <f>Table1323[[#This Row],[Implement]]*Table1323[[#This Row],[Demand Savings, kW]]</f>
        <v>#VALUE!</v>
      </c>
      <c r="AF144" s="18" t="e">
        <f>Table1323[[#This Row],[Implement]]*Table1323[[#This Row],[BCH Peak kW]]</f>
        <v>#VALUE!</v>
      </c>
      <c r="AG144" s="18">
        <f>Table1323[[#This Row],[Implement]]*Table1323[[#This Row],[Rebate kWh savings]]</f>
        <v>0</v>
      </c>
      <c r="AH144" s="18">
        <f>Table1323[[#This Row],[Implement]]*Table1323[[#This Row],[Controls Rebate kWh Savings]]</f>
        <v>0</v>
      </c>
      <c r="AI144" s="233">
        <f>Table1323[[#This Row],[Implement]]*Table1323[[#This Row],[Controls Rebate]]</f>
        <v>0</v>
      </c>
      <c r="AJ144" s="569">
        <f>IF(Table1323[[#This Row],[iControls Incentives]]&gt;0,Table1323[[#This Row],[Number of  sensors]],0)</f>
        <v>0</v>
      </c>
      <c r="AK144" s="233">
        <f>Table1323[[#This Row],[Implement]]*Table1323[[#This Row],[Lighting Rebate]]</f>
        <v>0</v>
      </c>
    </row>
    <row r="145" spans="2:37" ht="32.15" customHeight="1" x14ac:dyDescent="0.3">
      <c r="B145" s="17" t="str">
        <f>IF(Table1323[[#This Row],[Space Type]]="","","L-"&amp;ROW(139:139))</f>
        <v/>
      </c>
      <c r="C145" s="206"/>
      <c r="D145" s="207"/>
      <c r="E145" s="207"/>
      <c r="F145" s="207"/>
      <c r="G145" s="208" t="str">
        <f>IFERROR(IF(Table1323[[#This Row],[No]]="","",IF(Table1323[[#This Row],[Space Type]]="","select Space Type",INDEX(Table5[Hours],MATCH(Table1323[[#This Row],[Space Type]],Table5[Space Type],0)))),"")</f>
        <v/>
      </c>
      <c r="H145" s="207"/>
      <c r="I145" s="207"/>
      <c r="J145" s="613" t="str">
        <f>IFERROR(INDEX(Table1[Integrated Controls Capable],MATCH(Table1323[[#This Row],[Rebate Category]],Table1[BC Hydro Rebate Category],0)),"")</f>
        <v/>
      </c>
      <c r="K145" s="207"/>
      <c r="L145" s="572" t="str" cm="1">
        <f t="array" ref="L145">IFERROR(INDEX(Table1[Rebate],MATCH(Table1323[[#This Row],[Rebate Category]],Table1[BC Hydro Rebate Category],0))+IF(AND(Table1323[[#This Row],[Integrated Controls Capable]],Table1323[[#This Row],[Fixture Integrated Occupancy/Daylight Harvesting Sensors?]]="Yes"),Table6[],0),"")</f>
        <v/>
      </c>
      <c r="M145" s="574" t="str">
        <f>IFERROR(IF(AND(Table1323[[#This Row],[Integrated Controls Capable]],Table1323[[#This Row],[Fixture Integrated Occupancy/Daylight Harvesting Sensors?]]="Yes"),"per integrated luminaire", INDEX(Table1[Rebate Unit],MATCH(Table1323[[#This Row],[Rebate Category]],Table1[BC Hydro Rebate Category],0))),"")</f>
        <v/>
      </c>
      <c r="N145" s="207"/>
      <c r="O145" s="207"/>
      <c r="P145" s="206"/>
      <c r="Q145" s="209">
        <f>IFERROR(Table1323[[#This Row],[Rebate per luminaire, ($)]]*Table1323[[#This Row],[Quantity of luminaires or lamps]],0)</f>
        <v>0</v>
      </c>
      <c r="R14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45" s="211" t="str">
        <f>IFERROR(IF(Table1323[[#This Row],[Quantity of luminaires or lamps]]="","",IF(Table1323[[#This Row],[Controls Rebate]]="",0,Table1323[[#This Row],[Controls Rebate]])+Table1323[[#This Row],[Lighting Rebate]]),"")</f>
        <v/>
      </c>
      <c r="T14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45" s="213">
        <f>IFERROR(Table1323[[#This Row],[Rebate kW Savings]]*Table1323[[#This Row],[Annual hours from space type]],0)</f>
        <v>0</v>
      </c>
      <c r="V14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45" s="213">
        <f>Table1323[[#This Row],[Rebate kWh savings]]+Table1323[[#This Row],[Controls Rebate kWh Savings]]</f>
        <v>0</v>
      </c>
      <c r="X145" s="214" t="str">
        <f>IFERROR(IF(Table1323[[#This Row],[Quantity of luminaires or lamps]]="","",Table1323[[#This Row],[Rebate kW Savings]]),0)</f>
        <v/>
      </c>
      <c r="Y145" s="215" t="str">
        <f>IFERROR(IF(Table1323[[#This Row],[Quantity of luminaires or lamps]]="","",Table1323[[#This Row],[Total Lighting Rebate Energy Savings]]),0)</f>
        <v/>
      </c>
      <c r="Z145" s="207"/>
      <c r="AA145" s="18" t="str">
        <f>IF(Table1323[[#This Row],[Selected for Implementation]]="Yes",IF(Table1323[[#This Row],[No]]="","",(CONCATENATE("Light_"&amp;Table1323[[#This Row],[Rebate Category]]&amp;Table1323[[#This Row],[LED lamp/luminaire retrofit part '#]]))),"")</f>
        <v/>
      </c>
      <c r="AB145" s="20" t="str" cm="1">
        <f t="array" ref="AB145">IFERROR(IF(Table1323[[#This Row],[Annual hours from space type]]&gt;=Table14[],Table1323[[#This Row],[Demand Savings, kW]],0),0)</f>
        <v/>
      </c>
      <c r="AC145" s="19" t="str">
        <f>IFERROR(INDEX(Table1[BC Hydro xRM ECM],MATCH(Table1323[[#This Row],[Rebate Category]],Table1[BC Hydro Rebate Category],0)),"")</f>
        <v/>
      </c>
      <c r="AD145" s="18">
        <f>IF(Table1323[[#This Row],[Selected for Implementation]]="Yes",1,0)</f>
        <v>0</v>
      </c>
      <c r="AE145" s="18" t="e">
        <f>Table1323[[#This Row],[Implement]]*Table1323[[#This Row],[Demand Savings, kW]]</f>
        <v>#VALUE!</v>
      </c>
      <c r="AF145" s="18" t="e">
        <f>Table1323[[#This Row],[Implement]]*Table1323[[#This Row],[BCH Peak kW]]</f>
        <v>#VALUE!</v>
      </c>
      <c r="AG145" s="18">
        <f>Table1323[[#This Row],[Implement]]*Table1323[[#This Row],[Rebate kWh savings]]</f>
        <v>0</v>
      </c>
      <c r="AH145" s="18">
        <f>Table1323[[#This Row],[Implement]]*Table1323[[#This Row],[Controls Rebate kWh Savings]]</f>
        <v>0</v>
      </c>
      <c r="AI145" s="233">
        <f>Table1323[[#This Row],[Implement]]*Table1323[[#This Row],[Controls Rebate]]</f>
        <v>0</v>
      </c>
      <c r="AJ145" s="569">
        <f>IF(Table1323[[#This Row],[iControls Incentives]]&gt;0,Table1323[[#This Row],[Number of  sensors]],0)</f>
        <v>0</v>
      </c>
      <c r="AK145" s="233">
        <f>Table1323[[#This Row],[Implement]]*Table1323[[#This Row],[Lighting Rebate]]</f>
        <v>0</v>
      </c>
    </row>
    <row r="146" spans="2:37" ht="32.15" customHeight="1" x14ac:dyDescent="0.3">
      <c r="B146" s="17" t="str">
        <f>IF(Table1323[[#This Row],[Space Type]]="","","L-"&amp;ROW(140:140))</f>
        <v/>
      </c>
      <c r="C146" s="206"/>
      <c r="D146" s="207"/>
      <c r="E146" s="207"/>
      <c r="F146" s="207"/>
      <c r="G146" s="208" t="str">
        <f>IFERROR(IF(Table1323[[#This Row],[No]]="","",IF(Table1323[[#This Row],[Space Type]]="","select Space Type",INDEX(Table5[Hours],MATCH(Table1323[[#This Row],[Space Type]],Table5[Space Type],0)))),"")</f>
        <v/>
      </c>
      <c r="H146" s="207"/>
      <c r="I146" s="207"/>
      <c r="J146" s="613" t="str">
        <f>IFERROR(INDEX(Table1[Integrated Controls Capable],MATCH(Table1323[[#This Row],[Rebate Category]],Table1[BC Hydro Rebate Category],0)),"")</f>
        <v/>
      </c>
      <c r="K146" s="207"/>
      <c r="L146" s="572" t="str" cm="1">
        <f t="array" ref="L146">IFERROR(INDEX(Table1[Rebate],MATCH(Table1323[[#This Row],[Rebate Category]],Table1[BC Hydro Rebate Category],0))+IF(AND(Table1323[[#This Row],[Integrated Controls Capable]],Table1323[[#This Row],[Fixture Integrated Occupancy/Daylight Harvesting Sensors?]]="Yes"),Table6[],0),"")</f>
        <v/>
      </c>
      <c r="M146" s="574" t="str">
        <f>IFERROR(IF(AND(Table1323[[#This Row],[Integrated Controls Capable]],Table1323[[#This Row],[Fixture Integrated Occupancy/Daylight Harvesting Sensors?]]="Yes"),"per integrated luminaire", INDEX(Table1[Rebate Unit],MATCH(Table1323[[#This Row],[Rebate Category]],Table1[BC Hydro Rebate Category],0))),"")</f>
        <v/>
      </c>
      <c r="N146" s="207"/>
      <c r="O146" s="207"/>
      <c r="P146" s="206"/>
      <c r="Q146" s="209">
        <f>IFERROR(Table1323[[#This Row],[Rebate per luminaire, ($)]]*Table1323[[#This Row],[Quantity of luminaires or lamps]],0)</f>
        <v>0</v>
      </c>
      <c r="R14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46" s="211" t="str">
        <f>IFERROR(IF(Table1323[[#This Row],[Quantity of luminaires or lamps]]="","",IF(Table1323[[#This Row],[Controls Rebate]]="",0,Table1323[[#This Row],[Controls Rebate]])+Table1323[[#This Row],[Lighting Rebate]]),"")</f>
        <v/>
      </c>
      <c r="T14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46" s="213">
        <f>IFERROR(Table1323[[#This Row],[Rebate kW Savings]]*Table1323[[#This Row],[Annual hours from space type]],0)</f>
        <v>0</v>
      </c>
      <c r="V14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46" s="213">
        <f>Table1323[[#This Row],[Rebate kWh savings]]+Table1323[[#This Row],[Controls Rebate kWh Savings]]</f>
        <v>0</v>
      </c>
      <c r="X146" s="214" t="str">
        <f>IFERROR(IF(Table1323[[#This Row],[Quantity of luminaires or lamps]]="","",Table1323[[#This Row],[Rebate kW Savings]]),0)</f>
        <v/>
      </c>
      <c r="Y146" s="215" t="str">
        <f>IFERROR(IF(Table1323[[#This Row],[Quantity of luminaires or lamps]]="","",Table1323[[#This Row],[Total Lighting Rebate Energy Savings]]),0)</f>
        <v/>
      </c>
      <c r="Z146" s="207"/>
      <c r="AA146" s="18" t="str">
        <f>IF(Table1323[[#This Row],[Selected for Implementation]]="Yes",IF(Table1323[[#This Row],[No]]="","",(CONCATENATE("Light_"&amp;Table1323[[#This Row],[Rebate Category]]&amp;Table1323[[#This Row],[LED lamp/luminaire retrofit part '#]]))),"")</f>
        <v/>
      </c>
      <c r="AB146" s="20" t="str" cm="1">
        <f t="array" ref="AB146">IFERROR(IF(Table1323[[#This Row],[Annual hours from space type]]&gt;=Table14[],Table1323[[#This Row],[Demand Savings, kW]],0),0)</f>
        <v/>
      </c>
      <c r="AC146" s="19" t="str">
        <f>IFERROR(INDEX(Table1[BC Hydro xRM ECM],MATCH(Table1323[[#This Row],[Rebate Category]],Table1[BC Hydro Rebate Category],0)),"")</f>
        <v/>
      </c>
      <c r="AD146" s="18">
        <f>IF(Table1323[[#This Row],[Selected for Implementation]]="Yes",1,0)</f>
        <v>0</v>
      </c>
      <c r="AE146" s="18" t="e">
        <f>Table1323[[#This Row],[Implement]]*Table1323[[#This Row],[Demand Savings, kW]]</f>
        <v>#VALUE!</v>
      </c>
      <c r="AF146" s="18" t="e">
        <f>Table1323[[#This Row],[Implement]]*Table1323[[#This Row],[BCH Peak kW]]</f>
        <v>#VALUE!</v>
      </c>
      <c r="AG146" s="18">
        <f>Table1323[[#This Row],[Implement]]*Table1323[[#This Row],[Rebate kWh savings]]</f>
        <v>0</v>
      </c>
      <c r="AH146" s="18">
        <f>Table1323[[#This Row],[Implement]]*Table1323[[#This Row],[Controls Rebate kWh Savings]]</f>
        <v>0</v>
      </c>
      <c r="AI146" s="233">
        <f>Table1323[[#This Row],[Implement]]*Table1323[[#This Row],[Controls Rebate]]</f>
        <v>0</v>
      </c>
      <c r="AJ146" s="569">
        <f>IF(Table1323[[#This Row],[iControls Incentives]]&gt;0,Table1323[[#This Row],[Number of  sensors]],0)</f>
        <v>0</v>
      </c>
      <c r="AK146" s="233">
        <f>Table1323[[#This Row],[Implement]]*Table1323[[#This Row],[Lighting Rebate]]</f>
        <v>0</v>
      </c>
    </row>
    <row r="147" spans="2:37" ht="32.15" customHeight="1" x14ac:dyDescent="0.3">
      <c r="B147" s="17" t="str">
        <f>IF(Table1323[[#This Row],[Space Type]]="","","L-"&amp;ROW(141:141))</f>
        <v/>
      </c>
      <c r="C147" s="206"/>
      <c r="D147" s="207"/>
      <c r="E147" s="207"/>
      <c r="F147" s="207"/>
      <c r="G147" s="208" t="str">
        <f>IFERROR(IF(Table1323[[#This Row],[No]]="","",IF(Table1323[[#This Row],[Space Type]]="","select Space Type",INDEX(Table5[Hours],MATCH(Table1323[[#This Row],[Space Type]],Table5[Space Type],0)))),"")</f>
        <v/>
      </c>
      <c r="H147" s="207"/>
      <c r="I147" s="207"/>
      <c r="J147" s="613" t="str">
        <f>IFERROR(INDEX(Table1[Integrated Controls Capable],MATCH(Table1323[[#This Row],[Rebate Category]],Table1[BC Hydro Rebate Category],0)),"")</f>
        <v/>
      </c>
      <c r="K147" s="207"/>
      <c r="L147" s="572" t="str" cm="1">
        <f t="array" ref="L147">IFERROR(INDEX(Table1[Rebate],MATCH(Table1323[[#This Row],[Rebate Category]],Table1[BC Hydro Rebate Category],0))+IF(AND(Table1323[[#This Row],[Integrated Controls Capable]],Table1323[[#This Row],[Fixture Integrated Occupancy/Daylight Harvesting Sensors?]]="Yes"),Table6[],0),"")</f>
        <v/>
      </c>
      <c r="M147" s="574" t="str">
        <f>IFERROR(IF(AND(Table1323[[#This Row],[Integrated Controls Capable]],Table1323[[#This Row],[Fixture Integrated Occupancy/Daylight Harvesting Sensors?]]="Yes"),"per integrated luminaire", INDEX(Table1[Rebate Unit],MATCH(Table1323[[#This Row],[Rebate Category]],Table1[BC Hydro Rebate Category],0))),"")</f>
        <v/>
      </c>
      <c r="N147" s="207"/>
      <c r="O147" s="207"/>
      <c r="P147" s="206"/>
      <c r="Q147" s="209">
        <f>IFERROR(Table1323[[#This Row],[Rebate per luminaire, ($)]]*Table1323[[#This Row],[Quantity of luminaires or lamps]],0)</f>
        <v>0</v>
      </c>
      <c r="R147"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47" s="211" t="str">
        <f>IFERROR(IF(Table1323[[#This Row],[Quantity of luminaires or lamps]]="","",IF(Table1323[[#This Row],[Controls Rebate]]="",0,Table1323[[#This Row],[Controls Rebate]])+Table1323[[#This Row],[Lighting Rebate]]),"")</f>
        <v/>
      </c>
      <c r="T147"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47" s="213">
        <f>IFERROR(Table1323[[#This Row],[Rebate kW Savings]]*Table1323[[#This Row],[Annual hours from space type]],0)</f>
        <v>0</v>
      </c>
      <c r="V147"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47" s="213">
        <f>Table1323[[#This Row],[Rebate kWh savings]]+Table1323[[#This Row],[Controls Rebate kWh Savings]]</f>
        <v>0</v>
      </c>
      <c r="X147" s="214" t="str">
        <f>IFERROR(IF(Table1323[[#This Row],[Quantity of luminaires or lamps]]="","",Table1323[[#This Row],[Rebate kW Savings]]),0)</f>
        <v/>
      </c>
      <c r="Y147" s="215" t="str">
        <f>IFERROR(IF(Table1323[[#This Row],[Quantity of luminaires or lamps]]="","",Table1323[[#This Row],[Total Lighting Rebate Energy Savings]]),0)</f>
        <v/>
      </c>
      <c r="Z147" s="207"/>
      <c r="AA147" s="18" t="str">
        <f>IF(Table1323[[#This Row],[Selected for Implementation]]="Yes",IF(Table1323[[#This Row],[No]]="","",(CONCATENATE("Light_"&amp;Table1323[[#This Row],[Rebate Category]]&amp;Table1323[[#This Row],[LED lamp/luminaire retrofit part '#]]))),"")</f>
        <v/>
      </c>
      <c r="AB147" s="20" t="str" cm="1">
        <f t="array" ref="AB147">IFERROR(IF(Table1323[[#This Row],[Annual hours from space type]]&gt;=Table14[],Table1323[[#This Row],[Demand Savings, kW]],0),0)</f>
        <v/>
      </c>
      <c r="AC147" s="19" t="str">
        <f>IFERROR(INDEX(Table1[BC Hydro xRM ECM],MATCH(Table1323[[#This Row],[Rebate Category]],Table1[BC Hydro Rebate Category],0)),"")</f>
        <v/>
      </c>
      <c r="AD147" s="18">
        <f>IF(Table1323[[#This Row],[Selected for Implementation]]="Yes",1,0)</f>
        <v>0</v>
      </c>
      <c r="AE147" s="18" t="e">
        <f>Table1323[[#This Row],[Implement]]*Table1323[[#This Row],[Demand Savings, kW]]</f>
        <v>#VALUE!</v>
      </c>
      <c r="AF147" s="18" t="e">
        <f>Table1323[[#This Row],[Implement]]*Table1323[[#This Row],[BCH Peak kW]]</f>
        <v>#VALUE!</v>
      </c>
      <c r="AG147" s="18">
        <f>Table1323[[#This Row],[Implement]]*Table1323[[#This Row],[Rebate kWh savings]]</f>
        <v>0</v>
      </c>
      <c r="AH147" s="18">
        <f>Table1323[[#This Row],[Implement]]*Table1323[[#This Row],[Controls Rebate kWh Savings]]</f>
        <v>0</v>
      </c>
      <c r="AI147" s="233">
        <f>Table1323[[#This Row],[Implement]]*Table1323[[#This Row],[Controls Rebate]]</f>
        <v>0</v>
      </c>
      <c r="AJ147" s="569">
        <f>IF(Table1323[[#This Row],[iControls Incentives]]&gt;0,Table1323[[#This Row],[Number of  sensors]],0)</f>
        <v>0</v>
      </c>
      <c r="AK147" s="233">
        <f>Table1323[[#This Row],[Implement]]*Table1323[[#This Row],[Lighting Rebate]]</f>
        <v>0</v>
      </c>
    </row>
    <row r="148" spans="2:37" ht="32.15" customHeight="1" x14ac:dyDescent="0.3">
      <c r="B148" s="17" t="str">
        <f>IF(Table1323[[#This Row],[Space Type]]="","","L-"&amp;ROW(142:142))</f>
        <v/>
      </c>
      <c r="C148" s="206"/>
      <c r="D148" s="207"/>
      <c r="E148" s="207"/>
      <c r="F148" s="207"/>
      <c r="G148" s="208" t="str">
        <f>IFERROR(IF(Table1323[[#This Row],[No]]="","",IF(Table1323[[#This Row],[Space Type]]="","select Space Type",INDEX(Table5[Hours],MATCH(Table1323[[#This Row],[Space Type]],Table5[Space Type],0)))),"")</f>
        <v/>
      </c>
      <c r="H148" s="207"/>
      <c r="I148" s="207"/>
      <c r="J148" s="613" t="str">
        <f>IFERROR(INDEX(Table1[Integrated Controls Capable],MATCH(Table1323[[#This Row],[Rebate Category]],Table1[BC Hydro Rebate Category],0)),"")</f>
        <v/>
      </c>
      <c r="K148" s="207"/>
      <c r="L148" s="572" t="str" cm="1">
        <f t="array" ref="L148">IFERROR(INDEX(Table1[Rebate],MATCH(Table1323[[#This Row],[Rebate Category]],Table1[BC Hydro Rebate Category],0))+IF(AND(Table1323[[#This Row],[Integrated Controls Capable]],Table1323[[#This Row],[Fixture Integrated Occupancy/Daylight Harvesting Sensors?]]="Yes"),Table6[],0),"")</f>
        <v/>
      </c>
      <c r="M148" s="574" t="str">
        <f>IFERROR(IF(AND(Table1323[[#This Row],[Integrated Controls Capable]],Table1323[[#This Row],[Fixture Integrated Occupancy/Daylight Harvesting Sensors?]]="Yes"),"per integrated luminaire", INDEX(Table1[Rebate Unit],MATCH(Table1323[[#This Row],[Rebate Category]],Table1[BC Hydro Rebate Category],0))),"")</f>
        <v/>
      </c>
      <c r="N148" s="207"/>
      <c r="O148" s="207"/>
      <c r="P148" s="206"/>
      <c r="Q148" s="209">
        <f>IFERROR(Table1323[[#This Row],[Rebate per luminaire, ($)]]*Table1323[[#This Row],[Quantity of luminaires or lamps]],0)</f>
        <v>0</v>
      </c>
      <c r="R148"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48" s="211" t="str">
        <f>IFERROR(IF(Table1323[[#This Row],[Quantity of luminaires or lamps]]="","",IF(Table1323[[#This Row],[Controls Rebate]]="",0,Table1323[[#This Row],[Controls Rebate]])+Table1323[[#This Row],[Lighting Rebate]]),"")</f>
        <v/>
      </c>
      <c r="T148"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48" s="213">
        <f>IFERROR(Table1323[[#This Row],[Rebate kW Savings]]*Table1323[[#This Row],[Annual hours from space type]],0)</f>
        <v>0</v>
      </c>
      <c r="V148"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48" s="213">
        <f>Table1323[[#This Row],[Rebate kWh savings]]+Table1323[[#This Row],[Controls Rebate kWh Savings]]</f>
        <v>0</v>
      </c>
      <c r="X148" s="214" t="str">
        <f>IFERROR(IF(Table1323[[#This Row],[Quantity of luminaires or lamps]]="","",Table1323[[#This Row],[Rebate kW Savings]]),0)</f>
        <v/>
      </c>
      <c r="Y148" s="215" t="str">
        <f>IFERROR(IF(Table1323[[#This Row],[Quantity of luminaires or lamps]]="","",Table1323[[#This Row],[Total Lighting Rebate Energy Savings]]),0)</f>
        <v/>
      </c>
      <c r="Z148" s="207"/>
      <c r="AA148" s="18" t="str">
        <f>IF(Table1323[[#This Row],[Selected for Implementation]]="Yes",IF(Table1323[[#This Row],[No]]="","",(CONCATENATE("Light_"&amp;Table1323[[#This Row],[Rebate Category]]&amp;Table1323[[#This Row],[LED lamp/luminaire retrofit part '#]]))),"")</f>
        <v/>
      </c>
      <c r="AB148" s="20" t="str" cm="1">
        <f t="array" ref="AB148">IFERROR(IF(Table1323[[#This Row],[Annual hours from space type]]&gt;=Table14[],Table1323[[#This Row],[Demand Savings, kW]],0),0)</f>
        <v/>
      </c>
      <c r="AC148" s="19" t="str">
        <f>IFERROR(INDEX(Table1[BC Hydro xRM ECM],MATCH(Table1323[[#This Row],[Rebate Category]],Table1[BC Hydro Rebate Category],0)),"")</f>
        <v/>
      </c>
      <c r="AD148" s="18">
        <f>IF(Table1323[[#This Row],[Selected for Implementation]]="Yes",1,0)</f>
        <v>0</v>
      </c>
      <c r="AE148" s="18" t="e">
        <f>Table1323[[#This Row],[Implement]]*Table1323[[#This Row],[Demand Savings, kW]]</f>
        <v>#VALUE!</v>
      </c>
      <c r="AF148" s="18" t="e">
        <f>Table1323[[#This Row],[Implement]]*Table1323[[#This Row],[BCH Peak kW]]</f>
        <v>#VALUE!</v>
      </c>
      <c r="AG148" s="18">
        <f>Table1323[[#This Row],[Implement]]*Table1323[[#This Row],[Rebate kWh savings]]</f>
        <v>0</v>
      </c>
      <c r="AH148" s="18">
        <f>Table1323[[#This Row],[Implement]]*Table1323[[#This Row],[Controls Rebate kWh Savings]]</f>
        <v>0</v>
      </c>
      <c r="AI148" s="233">
        <f>Table1323[[#This Row],[Implement]]*Table1323[[#This Row],[Controls Rebate]]</f>
        <v>0</v>
      </c>
      <c r="AJ148" s="569">
        <f>IF(Table1323[[#This Row],[iControls Incentives]]&gt;0,Table1323[[#This Row],[Number of  sensors]],0)</f>
        <v>0</v>
      </c>
      <c r="AK148" s="233">
        <f>Table1323[[#This Row],[Implement]]*Table1323[[#This Row],[Lighting Rebate]]</f>
        <v>0</v>
      </c>
    </row>
    <row r="149" spans="2:37" ht="32.15" customHeight="1" x14ac:dyDescent="0.3">
      <c r="B149" s="17" t="str">
        <f>IF(Table1323[[#This Row],[Space Type]]="","","L-"&amp;ROW(143:143))</f>
        <v/>
      </c>
      <c r="C149" s="206"/>
      <c r="D149" s="207"/>
      <c r="E149" s="207"/>
      <c r="F149" s="207"/>
      <c r="G149" s="208" t="str">
        <f>IFERROR(IF(Table1323[[#This Row],[No]]="","",IF(Table1323[[#This Row],[Space Type]]="","select Space Type",INDEX(Table5[Hours],MATCH(Table1323[[#This Row],[Space Type]],Table5[Space Type],0)))),"")</f>
        <v/>
      </c>
      <c r="H149" s="207"/>
      <c r="I149" s="207"/>
      <c r="J149" s="613" t="str">
        <f>IFERROR(INDEX(Table1[Integrated Controls Capable],MATCH(Table1323[[#This Row],[Rebate Category]],Table1[BC Hydro Rebate Category],0)),"")</f>
        <v/>
      </c>
      <c r="K149" s="207"/>
      <c r="L149" s="572" t="str" cm="1">
        <f t="array" ref="L149">IFERROR(INDEX(Table1[Rebate],MATCH(Table1323[[#This Row],[Rebate Category]],Table1[BC Hydro Rebate Category],0))+IF(AND(Table1323[[#This Row],[Integrated Controls Capable]],Table1323[[#This Row],[Fixture Integrated Occupancy/Daylight Harvesting Sensors?]]="Yes"),Table6[],0),"")</f>
        <v/>
      </c>
      <c r="M149" s="574" t="str">
        <f>IFERROR(IF(AND(Table1323[[#This Row],[Integrated Controls Capable]],Table1323[[#This Row],[Fixture Integrated Occupancy/Daylight Harvesting Sensors?]]="Yes"),"per integrated luminaire", INDEX(Table1[Rebate Unit],MATCH(Table1323[[#This Row],[Rebate Category]],Table1[BC Hydro Rebate Category],0))),"")</f>
        <v/>
      </c>
      <c r="N149" s="207"/>
      <c r="O149" s="207"/>
      <c r="P149" s="206"/>
      <c r="Q149" s="209">
        <f>IFERROR(Table1323[[#This Row],[Rebate per luminaire, ($)]]*Table1323[[#This Row],[Quantity of luminaires or lamps]],0)</f>
        <v>0</v>
      </c>
      <c r="R149"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49" s="211" t="str">
        <f>IFERROR(IF(Table1323[[#This Row],[Quantity of luminaires or lamps]]="","",IF(Table1323[[#This Row],[Controls Rebate]]="",0,Table1323[[#This Row],[Controls Rebate]])+Table1323[[#This Row],[Lighting Rebate]]),"")</f>
        <v/>
      </c>
      <c r="T149"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49" s="213">
        <f>IFERROR(Table1323[[#This Row],[Rebate kW Savings]]*Table1323[[#This Row],[Annual hours from space type]],0)</f>
        <v>0</v>
      </c>
      <c r="V149"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49" s="213">
        <f>Table1323[[#This Row],[Rebate kWh savings]]+Table1323[[#This Row],[Controls Rebate kWh Savings]]</f>
        <v>0</v>
      </c>
      <c r="X149" s="214" t="str">
        <f>IFERROR(IF(Table1323[[#This Row],[Quantity of luminaires or lamps]]="","",Table1323[[#This Row],[Rebate kW Savings]]),0)</f>
        <v/>
      </c>
      <c r="Y149" s="215" t="str">
        <f>IFERROR(IF(Table1323[[#This Row],[Quantity of luminaires or lamps]]="","",Table1323[[#This Row],[Total Lighting Rebate Energy Savings]]),0)</f>
        <v/>
      </c>
      <c r="Z149" s="207"/>
      <c r="AA149" s="18" t="str">
        <f>IF(Table1323[[#This Row],[Selected for Implementation]]="Yes",IF(Table1323[[#This Row],[No]]="","",(CONCATENATE("Light_"&amp;Table1323[[#This Row],[Rebate Category]]&amp;Table1323[[#This Row],[LED lamp/luminaire retrofit part '#]]))),"")</f>
        <v/>
      </c>
      <c r="AB149" s="20" t="str" cm="1">
        <f t="array" ref="AB149">IFERROR(IF(Table1323[[#This Row],[Annual hours from space type]]&gt;=Table14[],Table1323[[#This Row],[Demand Savings, kW]],0),0)</f>
        <v/>
      </c>
      <c r="AC149" s="19" t="str">
        <f>IFERROR(INDEX(Table1[BC Hydro xRM ECM],MATCH(Table1323[[#This Row],[Rebate Category]],Table1[BC Hydro Rebate Category],0)),"")</f>
        <v/>
      </c>
      <c r="AD149" s="18">
        <f>IF(Table1323[[#This Row],[Selected for Implementation]]="Yes",1,0)</f>
        <v>0</v>
      </c>
      <c r="AE149" s="18" t="e">
        <f>Table1323[[#This Row],[Implement]]*Table1323[[#This Row],[Demand Savings, kW]]</f>
        <v>#VALUE!</v>
      </c>
      <c r="AF149" s="18" t="e">
        <f>Table1323[[#This Row],[Implement]]*Table1323[[#This Row],[BCH Peak kW]]</f>
        <v>#VALUE!</v>
      </c>
      <c r="AG149" s="18">
        <f>Table1323[[#This Row],[Implement]]*Table1323[[#This Row],[Rebate kWh savings]]</f>
        <v>0</v>
      </c>
      <c r="AH149" s="18">
        <f>Table1323[[#This Row],[Implement]]*Table1323[[#This Row],[Controls Rebate kWh Savings]]</f>
        <v>0</v>
      </c>
      <c r="AI149" s="233">
        <f>Table1323[[#This Row],[Implement]]*Table1323[[#This Row],[Controls Rebate]]</f>
        <v>0</v>
      </c>
      <c r="AJ149" s="569">
        <f>IF(Table1323[[#This Row],[iControls Incentives]]&gt;0,Table1323[[#This Row],[Number of  sensors]],0)</f>
        <v>0</v>
      </c>
      <c r="AK149" s="233">
        <f>Table1323[[#This Row],[Implement]]*Table1323[[#This Row],[Lighting Rebate]]</f>
        <v>0</v>
      </c>
    </row>
    <row r="150" spans="2:37" ht="32.15" customHeight="1" x14ac:dyDescent="0.3">
      <c r="B150" s="17" t="str">
        <f>IF(Table1323[[#This Row],[Space Type]]="","","L-"&amp;ROW(144:144))</f>
        <v/>
      </c>
      <c r="C150" s="206"/>
      <c r="D150" s="207"/>
      <c r="E150" s="207"/>
      <c r="F150" s="207"/>
      <c r="G150" s="208" t="str">
        <f>IFERROR(IF(Table1323[[#This Row],[No]]="","",IF(Table1323[[#This Row],[Space Type]]="","select Space Type",INDEX(Table5[Hours],MATCH(Table1323[[#This Row],[Space Type]],Table5[Space Type],0)))),"")</f>
        <v/>
      </c>
      <c r="H150" s="207"/>
      <c r="I150" s="207"/>
      <c r="J150" s="613" t="str">
        <f>IFERROR(INDEX(Table1[Integrated Controls Capable],MATCH(Table1323[[#This Row],[Rebate Category]],Table1[BC Hydro Rebate Category],0)),"")</f>
        <v/>
      </c>
      <c r="K150" s="207"/>
      <c r="L150" s="572" t="str" cm="1">
        <f t="array" ref="L150">IFERROR(INDEX(Table1[Rebate],MATCH(Table1323[[#This Row],[Rebate Category]],Table1[BC Hydro Rebate Category],0))+IF(AND(Table1323[[#This Row],[Integrated Controls Capable]],Table1323[[#This Row],[Fixture Integrated Occupancy/Daylight Harvesting Sensors?]]="Yes"),Table6[],0),"")</f>
        <v/>
      </c>
      <c r="M150" s="574" t="str">
        <f>IFERROR(IF(AND(Table1323[[#This Row],[Integrated Controls Capable]],Table1323[[#This Row],[Fixture Integrated Occupancy/Daylight Harvesting Sensors?]]="Yes"),"per integrated luminaire", INDEX(Table1[Rebate Unit],MATCH(Table1323[[#This Row],[Rebate Category]],Table1[BC Hydro Rebate Category],0))),"")</f>
        <v/>
      </c>
      <c r="N150" s="207"/>
      <c r="O150" s="207"/>
      <c r="P150" s="206"/>
      <c r="Q150" s="209">
        <f>IFERROR(Table1323[[#This Row],[Rebate per luminaire, ($)]]*Table1323[[#This Row],[Quantity of luminaires or lamps]],0)</f>
        <v>0</v>
      </c>
      <c r="R150"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50" s="211" t="str">
        <f>IFERROR(IF(Table1323[[#This Row],[Quantity of luminaires or lamps]]="","",IF(Table1323[[#This Row],[Controls Rebate]]="",0,Table1323[[#This Row],[Controls Rebate]])+Table1323[[#This Row],[Lighting Rebate]]),"")</f>
        <v/>
      </c>
      <c r="T150"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50" s="213">
        <f>IFERROR(Table1323[[#This Row],[Rebate kW Savings]]*Table1323[[#This Row],[Annual hours from space type]],0)</f>
        <v>0</v>
      </c>
      <c r="V150"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50" s="213">
        <f>Table1323[[#This Row],[Rebate kWh savings]]+Table1323[[#This Row],[Controls Rebate kWh Savings]]</f>
        <v>0</v>
      </c>
      <c r="X150" s="214" t="str">
        <f>IFERROR(IF(Table1323[[#This Row],[Quantity of luminaires or lamps]]="","",Table1323[[#This Row],[Rebate kW Savings]]),0)</f>
        <v/>
      </c>
      <c r="Y150" s="215" t="str">
        <f>IFERROR(IF(Table1323[[#This Row],[Quantity of luminaires or lamps]]="","",Table1323[[#This Row],[Total Lighting Rebate Energy Savings]]),0)</f>
        <v/>
      </c>
      <c r="Z150" s="207"/>
      <c r="AA150" s="18" t="str">
        <f>IF(Table1323[[#This Row],[Selected for Implementation]]="Yes",IF(Table1323[[#This Row],[No]]="","",(CONCATENATE("Light_"&amp;Table1323[[#This Row],[Rebate Category]]&amp;Table1323[[#This Row],[LED lamp/luminaire retrofit part '#]]))),"")</f>
        <v/>
      </c>
      <c r="AB150" s="20" t="str" cm="1">
        <f t="array" ref="AB150">IFERROR(IF(Table1323[[#This Row],[Annual hours from space type]]&gt;=Table14[],Table1323[[#This Row],[Demand Savings, kW]],0),0)</f>
        <v/>
      </c>
      <c r="AC150" s="19" t="str">
        <f>IFERROR(INDEX(Table1[BC Hydro xRM ECM],MATCH(Table1323[[#This Row],[Rebate Category]],Table1[BC Hydro Rebate Category],0)),"")</f>
        <v/>
      </c>
      <c r="AD150" s="18">
        <f>IF(Table1323[[#This Row],[Selected for Implementation]]="Yes",1,0)</f>
        <v>0</v>
      </c>
      <c r="AE150" s="18" t="e">
        <f>Table1323[[#This Row],[Implement]]*Table1323[[#This Row],[Demand Savings, kW]]</f>
        <v>#VALUE!</v>
      </c>
      <c r="AF150" s="18" t="e">
        <f>Table1323[[#This Row],[Implement]]*Table1323[[#This Row],[BCH Peak kW]]</f>
        <v>#VALUE!</v>
      </c>
      <c r="AG150" s="18">
        <f>Table1323[[#This Row],[Implement]]*Table1323[[#This Row],[Rebate kWh savings]]</f>
        <v>0</v>
      </c>
      <c r="AH150" s="18">
        <f>Table1323[[#This Row],[Implement]]*Table1323[[#This Row],[Controls Rebate kWh Savings]]</f>
        <v>0</v>
      </c>
      <c r="AI150" s="233">
        <f>Table1323[[#This Row],[Implement]]*Table1323[[#This Row],[Controls Rebate]]</f>
        <v>0</v>
      </c>
      <c r="AJ150" s="569">
        <f>IF(Table1323[[#This Row],[iControls Incentives]]&gt;0,Table1323[[#This Row],[Number of  sensors]],0)</f>
        <v>0</v>
      </c>
      <c r="AK150" s="233">
        <f>Table1323[[#This Row],[Implement]]*Table1323[[#This Row],[Lighting Rebate]]</f>
        <v>0</v>
      </c>
    </row>
    <row r="151" spans="2:37" ht="32.15" customHeight="1" x14ac:dyDescent="0.3">
      <c r="B151" s="17" t="str">
        <f>IF(Table1323[[#This Row],[Space Type]]="","","L-"&amp;ROW(145:145))</f>
        <v/>
      </c>
      <c r="C151" s="206"/>
      <c r="D151" s="207"/>
      <c r="E151" s="207"/>
      <c r="F151" s="207"/>
      <c r="G151" s="208" t="str">
        <f>IFERROR(IF(Table1323[[#This Row],[No]]="","",IF(Table1323[[#This Row],[Space Type]]="","select Space Type",INDEX(Table5[Hours],MATCH(Table1323[[#This Row],[Space Type]],Table5[Space Type],0)))),"")</f>
        <v/>
      </c>
      <c r="H151" s="207"/>
      <c r="I151" s="207"/>
      <c r="J151" s="613" t="str">
        <f>IFERROR(INDEX(Table1[Integrated Controls Capable],MATCH(Table1323[[#This Row],[Rebate Category]],Table1[BC Hydro Rebate Category],0)),"")</f>
        <v/>
      </c>
      <c r="K151" s="207"/>
      <c r="L151" s="572" t="str" cm="1">
        <f t="array" ref="L151">IFERROR(INDEX(Table1[Rebate],MATCH(Table1323[[#This Row],[Rebate Category]],Table1[BC Hydro Rebate Category],0))+IF(AND(Table1323[[#This Row],[Integrated Controls Capable]],Table1323[[#This Row],[Fixture Integrated Occupancy/Daylight Harvesting Sensors?]]="Yes"),Table6[],0),"")</f>
        <v/>
      </c>
      <c r="M151" s="574" t="str">
        <f>IFERROR(IF(AND(Table1323[[#This Row],[Integrated Controls Capable]],Table1323[[#This Row],[Fixture Integrated Occupancy/Daylight Harvesting Sensors?]]="Yes"),"per integrated luminaire", INDEX(Table1[Rebate Unit],MATCH(Table1323[[#This Row],[Rebate Category]],Table1[BC Hydro Rebate Category],0))),"")</f>
        <v/>
      </c>
      <c r="N151" s="207"/>
      <c r="O151" s="207"/>
      <c r="P151" s="206"/>
      <c r="Q151" s="209">
        <f>IFERROR(Table1323[[#This Row],[Rebate per luminaire, ($)]]*Table1323[[#This Row],[Quantity of luminaires or lamps]],0)</f>
        <v>0</v>
      </c>
      <c r="R151"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51" s="211" t="str">
        <f>IFERROR(IF(Table1323[[#This Row],[Quantity of luminaires or lamps]]="","",IF(Table1323[[#This Row],[Controls Rebate]]="",0,Table1323[[#This Row],[Controls Rebate]])+Table1323[[#This Row],[Lighting Rebate]]),"")</f>
        <v/>
      </c>
      <c r="T151"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51" s="213">
        <f>IFERROR(Table1323[[#This Row],[Rebate kW Savings]]*Table1323[[#This Row],[Annual hours from space type]],0)</f>
        <v>0</v>
      </c>
      <c r="V151"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51" s="213">
        <f>Table1323[[#This Row],[Rebate kWh savings]]+Table1323[[#This Row],[Controls Rebate kWh Savings]]</f>
        <v>0</v>
      </c>
      <c r="X151" s="214" t="str">
        <f>IFERROR(IF(Table1323[[#This Row],[Quantity of luminaires or lamps]]="","",Table1323[[#This Row],[Rebate kW Savings]]),0)</f>
        <v/>
      </c>
      <c r="Y151" s="215" t="str">
        <f>IFERROR(IF(Table1323[[#This Row],[Quantity of luminaires or lamps]]="","",Table1323[[#This Row],[Total Lighting Rebate Energy Savings]]),0)</f>
        <v/>
      </c>
      <c r="Z151" s="207"/>
      <c r="AA151" s="18" t="str">
        <f>IF(Table1323[[#This Row],[Selected for Implementation]]="Yes",IF(Table1323[[#This Row],[No]]="","",(CONCATENATE("Light_"&amp;Table1323[[#This Row],[Rebate Category]]&amp;Table1323[[#This Row],[LED lamp/luminaire retrofit part '#]]))),"")</f>
        <v/>
      </c>
      <c r="AB151" s="20" t="str" cm="1">
        <f t="array" ref="AB151">IFERROR(IF(Table1323[[#This Row],[Annual hours from space type]]&gt;=Table14[],Table1323[[#This Row],[Demand Savings, kW]],0),0)</f>
        <v/>
      </c>
      <c r="AC151" s="19" t="str">
        <f>IFERROR(INDEX(Table1[BC Hydro xRM ECM],MATCH(Table1323[[#This Row],[Rebate Category]],Table1[BC Hydro Rebate Category],0)),"")</f>
        <v/>
      </c>
      <c r="AD151" s="18">
        <f>IF(Table1323[[#This Row],[Selected for Implementation]]="Yes",1,0)</f>
        <v>0</v>
      </c>
      <c r="AE151" s="18" t="e">
        <f>Table1323[[#This Row],[Implement]]*Table1323[[#This Row],[Demand Savings, kW]]</f>
        <v>#VALUE!</v>
      </c>
      <c r="AF151" s="18" t="e">
        <f>Table1323[[#This Row],[Implement]]*Table1323[[#This Row],[BCH Peak kW]]</f>
        <v>#VALUE!</v>
      </c>
      <c r="AG151" s="18">
        <f>Table1323[[#This Row],[Implement]]*Table1323[[#This Row],[Rebate kWh savings]]</f>
        <v>0</v>
      </c>
      <c r="AH151" s="18">
        <f>Table1323[[#This Row],[Implement]]*Table1323[[#This Row],[Controls Rebate kWh Savings]]</f>
        <v>0</v>
      </c>
      <c r="AI151" s="233">
        <f>Table1323[[#This Row],[Implement]]*Table1323[[#This Row],[Controls Rebate]]</f>
        <v>0</v>
      </c>
      <c r="AJ151" s="569">
        <f>IF(Table1323[[#This Row],[iControls Incentives]]&gt;0,Table1323[[#This Row],[Number of  sensors]],0)</f>
        <v>0</v>
      </c>
      <c r="AK151" s="233">
        <f>Table1323[[#This Row],[Implement]]*Table1323[[#This Row],[Lighting Rebate]]</f>
        <v>0</v>
      </c>
    </row>
    <row r="152" spans="2:37" ht="32.15" customHeight="1" x14ac:dyDescent="0.3">
      <c r="B152" s="17" t="str">
        <f>IF(Table1323[[#This Row],[Space Type]]="","","L-"&amp;ROW(146:146))</f>
        <v/>
      </c>
      <c r="C152" s="206"/>
      <c r="D152" s="207"/>
      <c r="E152" s="207"/>
      <c r="F152" s="207"/>
      <c r="G152" s="208" t="str">
        <f>IFERROR(IF(Table1323[[#This Row],[No]]="","",IF(Table1323[[#This Row],[Space Type]]="","select Space Type",INDEX(Table5[Hours],MATCH(Table1323[[#This Row],[Space Type]],Table5[Space Type],0)))),"")</f>
        <v/>
      </c>
      <c r="H152" s="207"/>
      <c r="I152" s="207"/>
      <c r="J152" s="613" t="str">
        <f>IFERROR(INDEX(Table1[Integrated Controls Capable],MATCH(Table1323[[#This Row],[Rebate Category]],Table1[BC Hydro Rebate Category],0)),"")</f>
        <v/>
      </c>
      <c r="K152" s="207"/>
      <c r="L152" s="572" t="str" cm="1">
        <f t="array" ref="L152">IFERROR(INDEX(Table1[Rebate],MATCH(Table1323[[#This Row],[Rebate Category]],Table1[BC Hydro Rebate Category],0))+IF(AND(Table1323[[#This Row],[Integrated Controls Capable]],Table1323[[#This Row],[Fixture Integrated Occupancy/Daylight Harvesting Sensors?]]="Yes"),Table6[],0),"")</f>
        <v/>
      </c>
      <c r="M152" s="574" t="str">
        <f>IFERROR(IF(AND(Table1323[[#This Row],[Integrated Controls Capable]],Table1323[[#This Row],[Fixture Integrated Occupancy/Daylight Harvesting Sensors?]]="Yes"),"per integrated luminaire", INDEX(Table1[Rebate Unit],MATCH(Table1323[[#This Row],[Rebate Category]],Table1[BC Hydro Rebate Category],0))),"")</f>
        <v/>
      </c>
      <c r="N152" s="207"/>
      <c r="O152" s="207"/>
      <c r="P152" s="206"/>
      <c r="Q152" s="209">
        <f>IFERROR(Table1323[[#This Row],[Rebate per luminaire, ($)]]*Table1323[[#This Row],[Quantity of luminaires or lamps]],0)</f>
        <v>0</v>
      </c>
      <c r="R152"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52" s="211" t="str">
        <f>IFERROR(IF(Table1323[[#This Row],[Quantity of luminaires or lamps]]="","",IF(Table1323[[#This Row],[Controls Rebate]]="",0,Table1323[[#This Row],[Controls Rebate]])+Table1323[[#This Row],[Lighting Rebate]]),"")</f>
        <v/>
      </c>
      <c r="T152"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52" s="213">
        <f>IFERROR(Table1323[[#This Row],[Rebate kW Savings]]*Table1323[[#This Row],[Annual hours from space type]],0)</f>
        <v>0</v>
      </c>
      <c r="V152"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52" s="213">
        <f>Table1323[[#This Row],[Rebate kWh savings]]+Table1323[[#This Row],[Controls Rebate kWh Savings]]</f>
        <v>0</v>
      </c>
      <c r="X152" s="214" t="str">
        <f>IFERROR(IF(Table1323[[#This Row],[Quantity of luminaires or lamps]]="","",Table1323[[#This Row],[Rebate kW Savings]]),0)</f>
        <v/>
      </c>
      <c r="Y152" s="215" t="str">
        <f>IFERROR(IF(Table1323[[#This Row],[Quantity of luminaires or lamps]]="","",Table1323[[#This Row],[Total Lighting Rebate Energy Savings]]),0)</f>
        <v/>
      </c>
      <c r="Z152" s="207"/>
      <c r="AA152" s="18" t="str">
        <f>IF(Table1323[[#This Row],[Selected for Implementation]]="Yes",IF(Table1323[[#This Row],[No]]="","",(CONCATENATE("Light_"&amp;Table1323[[#This Row],[Rebate Category]]&amp;Table1323[[#This Row],[LED lamp/luminaire retrofit part '#]]))),"")</f>
        <v/>
      </c>
      <c r="AB152" s="20" t="str" cm="1">
        <f t="array" ref="AB152">IFERROR(IF(Table1323[[#This Row],[Annual hours from space type]]&gt;=Table14[],Table1323[[#This Row],[Demand Savings, kW]],0),0)</f>
        <v/>
      </c>
      <c r="AC152" s="19" t="str">
        <f>IFERROR(INDEX(Table1[BC Hydro xRM ECM],MATCH(Table1323[[#This Row],[Rebate Category]],Table1[BC Hydro Rebate Category],0)),"")</f>
        <v/>
      </c>
      <c r="AD152" s="18">
        <f>IF(Table1323[[#This Row],[Selected for Implementation]]="Yes",1,0)</f>
        <v>0</v>
      </c>
      <c r="AE152" s="18" t="e">
        <f>Table1323[[#This Row],[Implement]]*Table1323[[#This Row],[Demand Savings, kW]]</f>
        <v>#VALUE!</v>
      </c>
      <c r="AF152" s="18" t="e">
        <f>Table1323[[#This Row],[Implement]]*Table1323[[#This Row],[BCH Peak kW]]</f>
        <v>#VALUE!</v>
      </c>
      <c r="AG152" s="18">
        <f>Table1323[[#This Row],[Implement]]*Table1323[[#This Row],[Rebate kWh savings]]</f>
        <v>0</v>
      </c>
      <c r="AH152" s="18">
        <f>Table1323[[#This Row],[Implement]]*Table1323[[#This Row],[Controls Rebate kWh Savings]]</f>
        <v>0</v>
      </c>
      <c r="AI152" s="233">
        <f>Table1323[[#This Row],[Implement]]*Table1323[[#This Row],[Controls Rebate]]</f>
        <v>0</v>
      </c>
      <c r="AJ152" s="569">
        <f>IF(Table1323[[#This Row],[iControls Incentives]]&gt;0,Table1323[[#This Row],[Number of  sensors]],0)</f>
        <v>0</v>
      </c>
      <c r="AK152" s="233">
        <f>Table1323[[#This Row],[Implement]]*Table1323[[#This Row],[Lighting Rebate]]</f>
        <v>0</v>
      </c>
    </row>
    <row r="153" spans="2:37" ht="32.15" customHeight="1" x14ac:dyDescent="0.3">
      <c r="B153" s="17" t="str">
        <f>IF(Table1323[[#This Row],[Space Type]]="","","L-"&amp;ROW(147:147))</f>
        <v/>
      </c>
      <c r="C153" s="206"/>
      <c r="D153" s="207"/>
      <c r="E153" s="207"/>
      <c r="F153" s="207"/>
      <c r="G153" s="208" t="str">
        <f>IFERROR(IF(Table1323[[#This Row],[No]]="","",IF(Table1323[[#This Row],[Space Type]]="","select Space Type",INDEX(Table5[Hours],MATCH(Table1323[[#This Row],[Space Type]],Table5[Space Type],0)))),"")</f>
        <v/>
      </c>
      <c r="H153" s="207"/>
      <c r="I153" s="207"/>
      <c r="J153" s="613" t="str">
        <f>IFERROR(INDEX(Table1[Integrated Controls Capable],MATCH(Table1323[[#This Row],[Rebate Category]],Table1[BC Hydro Rebate Category],0)),"")</f>
        <v/>
      </c>
      <c r="K153" s="207"/>
      <c r="L153" s="572" t="str" cm="1">
        <f t="array" ref="L153">IFERROR(INDEX(Table1[Rebate],MATCH(Table1323[[#This Row],[Rebate Category]],Table1[BC Hydro Rebate Category],0))+IF(AND(Table1323[[#This Row],[Integrated Controls Capable]],Table1323[[#This Row],[Fixture Integrated Occupancy/Daylight Harvesting Sensors?]]="Yes"),Table6[],0),"")</f>
        <v/>
      </c>
      <c r="M153" s="574" t="str">
        <f>IFERROR(IF(AND(Table1323[[#This Row],[Integrated Controls Capable]],Table1323[[#This Row],[Fixture Integrated Occupancy/Daylight Harvesting Sensors?]]="Yes"),"per integrated luminaire", INDEX(Table1[Rebate Unit],MATCH(Table1323[[#This Row],[Rebate Category]],Table1[BC Hydro Rebate Category],0))),"")</f>
        <v/>
      </c>
      <c r="N153" s="207"/>
      <c r="O153" s="207"/>
      <c r="P153" s="206"/>
      <c r="Q153" s="209">
        <f>IFERROR(Table1323[[#This Row],[Rebate per luminaire, ($)]]*Table1323[[#This Row],[Quantity of luminaires or lamps]],0)</f>
        <v>0</v>
      </c>
      <c r="R153"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53" s="211" t="str">
        <f>IFERROR(IF(Table1323[[#This Row],[Quantity of luminaires or lamps]]="","",IF(Table1323[[#This Row],[Controls Rebate]]="",0,Table1323[[#This Row],[Controls Rebate]])+Table1323[[#This Row],[Lighting Rebate]]),"")</f>
        <v/>
      </c>
      <c r="T153"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53" s="213">
        <f>IFERROR(Table1323[[#This Row],[Rebate kW Savings]]*Table1323[[#This Row],[Annual hours from space type]],0)</f>
        <v>0</v>
      </c>
      <c r="V153"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53" s="213">
        <f>Table1323[[#This Row],[Rebate kWh savings]]+Table1323[[#This Row],[Controls Rebate kWh Savings]]</f>
        <v>0</v>
      </c>
      <c r="X153" s="214" t="str">
        <f>IFERROR(IF(Table1323[[#This Row],[Quantity of luminaires or lamps]]="","",Table1323[[#This Row],[Rebate kW Savings]]),0)</f>
        <v/>
      </c>
      <c r="Y153" s="215" t="str">
        <f>IFERROR(IF(Table1323[[#This Row],[Quantity of luminaires or lamps]]="","",Table1323[[#This Row],[Total Lighting Rebate Energy Savings]]),0)</f>
        <v/>
      </c>
      <c r="Z153" s="207"/>
      <c r="AA153" s="18" t="str">
        <f>IF(Table1323[[#This Row],[Selected for Implementation]]="Yes",IF(Table1323[[#This Row],[No]]="","",(CONCATENATE("Light_"&amp;Table1323[[#This Row],[Rebate Category]]&amp;Table1323[[#This Row],[LED lamp/luminaire retrofit part '#]]))),"")</f>
        <v/>
      </c>
      <c r="AB153" s="20" t="str" cm="1">
        <f t="array" ref="AB153">IFERROR(IF(Table1323[[#This Row],[Annual hours from space type]]&gt;=Table14[],Table1323[[#This Row],[Demand Savings, kW]],0),0)</f>
        <v/>
      </c>
      <c r="AC153" s="19" t="str">
        <f>IFERROR(INDEX(Table1[BC Hydro xRM ECM],MATCH(Table1323[[#This Row],[Rebate Category]],Table1[BC Hydro Rebate Category],0)),"")</f>
        <v/>
      </c>
      <c r="AD153" s="18">
        <f>IF(Table1323[[#This Row],[Selected for Implementation]]="Yes",1,0)</f>
        <v>0</v>
      </c>
      <c r="AE153" s="18" t="e">
        <f>Table1323[[#This Row],[Implement]]*Table1323[[#This Row],[Demand Savings, kW]]</f>
        <v>#VALUE!</v>
      </c>
      <c r="AF153" s="18" t="e">
        <f>Table1323[[#This Row],[Implement]]*Table1323[[#This Row],[BCH Peak kW]]</f>
        <v>#VALUE!</v>
      </c>
      <c r="AG153" s="18">
        <f>Table1323[[#This Row],[Implement]]*Table1323[[#This Row],[Rebate kWh savings]]</f>
        <v>0</v>
      </c>
      <c r="AH153" s="18">
        <f>Table1323[[#This Row],[Implement]]*Table1323[[#This Row],[Controls Rebate kWh Savings]]</f>
        <v>0</v>
      </c>
      <c r="AI153" s="233">
        <f>Table1323[[#This Row],[Implement]]*Table1323[[#This Row],[Controls Rebate]]</f>
        <v>0</v>
      </c>
      <c r="AJ153" s="569">
        <f>IF(Table1323[[#This Row],[iControls Incentives]]&gt;0,Table1323[[#This Row],[Number of  sensors]],0)</f>
        <v>0</v>
      </c>
      <c r="AK153" s="233">
        <f>Table1323[[#This Row],[Implement]]*Table1323[[#This Row],[Lighting Rebate]]</f>
        <v>0</v>
      </c>
    </row>
    <row r="154" spans="2:37" ht="32.15" customHeight="1" x14ac:dyDescent="0.3">
      <c r="B154" s="17" t="str">
        <f>IF(Table1323[[#This Row],[Space Type]]="","","L-"&amp;ROW(148:148))</f>
        <v/>
      </c>
      <c r="C154" s="206"/>
      <c r="D154" s="207"/>
      <c r="E154" s="207"/>
      <c r="F154" s="207"/>
      <c r="G154" s="208" t="str">
        <f>IFERROR(IF(Table1323[[#This Row],[No]]="","",IF(Table1323[[#This Row],[Space Type]]="","select Space Type",INDEX(Table5[Hours],MATCH(Table1323[[#This Row],[Space Type]],Table5[Space Type],0)))),"")</f>
        <v/>
      </c>
      <c r="H154" s="207"/>
      <c r="I154" s="207"/>
      <c r="J154" s="613" t="str">
        <f>IFERROR(INDEX(Table1[Integrated Controls Capable],MATCH(Table1323[[#This Row],[Rebate Category]],Table1[BC Hydro Rebate Category],0)),"")</f>
        <v/>
      </c>
      <c r="K154" s="207"/>
      <c r="L154" s="572" t="str" cm="1">
        <f t="array" ref="L154">IFERROR(INDEX(Table1[Rebate],MATCH(Table1323[[#This Row],[Rebate Category]],Table1[BC Hydro Rebate Category],0))+IF(AND(Table1323[[#This Row],[Integrated Controls Capable]],Table1323[[#This Row],[Fixture Integrated Occupancy/Daylight Harvesting Sensors?]]="Yes"),Table6[],0),"")</f>
        <v/>
      </c>
      <c r="M154" s="574" t="str">
        <f>IFERROR(IF(AND(Table1323[[#This Row],[Integrated Controls Capable]],Table1323[[#This Row],[Fixture Integrated Occupancy/Daylight Harvesting Sensors?]]="Yes"),"per integrated luminaire", INDEX(Table1[Rebate Unit],MATCH(Table1323[[#This Row],[Rebate Category]],Table1[BC Hydro Rebate Category],0))),"")</f>
        <v/>
      </c>
      <c r="N154" s="207"/>
      <c r="O154" s="207"/>
      <c r="P154" s="206"/>
      <c r="Q154" s="209">
        <f>IFERROR(Table1323[[#This Row],[Rebate per luminaire, ($)]]*Table1323[[#This Row],[Quantity of luminaires or lamps]],0)</f>
        <v>0</v>
      </c>
      <c r="R154"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54" s="211" t="str">
        <f>IFERROR(IF(Table1323[[#This Row],[Quantity of luminaires or lamps]]="","",IF(Table1323[[#This Row],[Controls Rebate]]="",0,Table1323[[#This Row],[Controls Rebate]])+Table1323[[#This Row],[Lighting Rebate]]),"")</f>
        <v/>
      </c>
      <c r="T154"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54" s="213">
        <f>IFERROR(Table1323[[#This Row],[Rebate kW Savings]]*Table1323[[#This Row],[Annual hours from space type]],0)</f>
        <v>0</v>
      </c>
      <c r="V154"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54" s="213">
        <f>Table1323[[#This Row],[Rebate kWh savings]]+Table1323[[#This Row],[Controls Rebate kWh Savings]]</f>
        <v>0</v>
      </c>
      <c r="X154" s="214" t="str">
        <f>IFERROR(IF(Table1323[[#This Row],[Quantity of luminaires or lamps]]="","",Table1323[[#This Row],[Rebate kW Savings]]),0)</f>
        <v/>
      </c>
      <c r="Y154" s="215" t="str">
        <f>IFERROR(IF(Table1323[[#This Row],[Quantity of luminaires or lamps]]="","",Table1323[[#This Row],[Total Lighting Rebate Energy Savings]]),0)</f>
        <v/>
      </c>
      <c r="Z154" s="207"/>
      <c r="AA154" s="18" t="str">
        <f>IF(Table1323[[#This Row],[Selected for Implementation]]="Yes",IF(Table1323[[#This Row],[No]]="","",(CONCATENATE("Light_"&amp;Table1323[[#This Row],[Rebate Category]]&amp;Table1323[[#This Row],[LED lamp/luminaire retrofit part '#]]))),"")</f>
        <v/>
      </c>
      <c r="AB154" s="20" t="str" cm="1">
        <f t="array" ref="AB154">IFERROR(IF(Table1323[[#This Row],[Annual hours from space type]]&gt;=Table14[],Table1323[[#This Row],[Demand Savings, kW]],0),0)</f>
        <v/>
      </c>
      <c r="AC154" s="19" t="str">
        <f>IFERROR(INDEX(Table1[BC Hydro xRM ECM],MATCH(Table1323[[#This Row],[Rebate Category]],Table1[BC Hydro Rebate Category],0)),"")</f>
        <v/>
      </c>
      <c r="AD154" s="18">
        <f>IF(Table1323[[#This Row],[Selected for Implementation]]="Yes",1,0)</f>
        <v>0</v>
      </c>
      <c r="AE154" s="18" t="e">
        <f>Table1323[[#This Row],[Implement]]*Table1323[[#This Row],[Demand Savings, kW]]</f>
        <v>#VALUE!</v>
      </c>
      <c r="AF154" s="18" t="e">
        <f>Table1323[[#This Row],[Implement]]*Table1323[[#This Row],[BCH Peak kW]]</f>
        <v>#VALUE!</v>
      </c>
      <c r="AG154" s="18">
        <f>Table1323[[#This Row],[Implement]]*Table1323[[#This Row],[Rebate kWh savings]]</f>
        <v>0</v>
      </c>
      <c r="AH154" s="18">
        <f>Table1323[[#This Row],[Implement]]*Table1323[[#This Row],[Controls Rebate kWh Savings]]</f>
        <v>0</v>
      </c>
      <c r="AI154" s="233">
        <f>Table1323[[#This Row],[Implement]]*Table1323[[#This Row],[Controls Rebate]]</f>
        <v>0</v>
      </c>
      <c r="AJ154" s="569">
        <f>IF(Table1323[[#This Row],[iControls Incentives]]&gt;0,Table1323[[#This Row],[Number of  sensors]],0)</f>
        <v>0</v>
      </c>
      <c r="AK154" s="233">
        <f>Table1323[[#This Row],[Implement]]*Table1323[[#This Row],[Lighting Rebate]]</f>
        <v>0</v>
      </c>
    </row>
    <row r="155" spans="2:37" ht="32.15" customHeight="1" x14ac:dyDescent="0.3">
      <c r="B155" s="17" t="str">
        <f>IF(Table1323[[#This Row],[Space Type]]="","","L-"&amp;ROW(149:149))</f>
        <v/>
      </c>
      <c r="C155" s="206"/>
      <c r="D155" s="207"/>
      <c r="E155" s="207"/>
      <c r="F155" s="207"/>
      <c r="G155" s="208" t="str">
        <f>IFERROR(IF(Table1323[[#This Row],[No]]="","",IF(Table1323[[#This Row],[Space Type]]="","select Space Type",INDEX(Table5[Hours],MATCH(Table1323[[#This Row],[Space Type]],Table5[Space Type],0)))),"")</f>
        <v/>
      </c>
      <c r="H155" s="207"/>
      <c r="I155" s="207"/>
      <c r="J155" s="613" t="str">
        <f>IFERROR(INDEX(Table1[Integrated Controls Capable],MATCH(Table1323[[#This Row],[Rebate Category]],Table1[BC Hydro Rebate Category],0)),"")</f>
        <v/>
      </c>
      <c r="K155" s="207"/>
      <c r="L155" s="572" t="str" cm="1">
        <f t="array" ref="L155">IFERROR(INDEX(Table1[Rebate],MATCH(Table1323[[#This Row],[Rebate Category]],Table1[BC Hydro Rebate Category],0))+IF(AND(Table1323[[#This Row],[Integrated Controls Capable]],Table1323[[#This Row],[Fixture Integrated Occupancy/Daylight Harvesting Sensors?]]="Yes"),Table6[],0),"")</f>
        <v/>
      </c>
      <c r="M155" s="574" t="str">
        <f>IFERROR(IF(AND(Table1323[[#This Row],[Integrated Controls Capable]],Table1323[[#This Row],[Fixture Integrated Occupancy/Daylight Harvesting Sensors?]]="Yes"),"per integrated luminaire", INDEX(Table1[Rebate Unit],MATCH(Table1323[[#This Row],[Rebate Category]],Table1[BC Hydro Rebate Category],0))),"")</f>
        <v/>
      </c>
      <c r="N155" s="207"/>
      <c r="O155" s="207"/>
      <c r="P155" s="206"/>
      <c r="Q155" s="209">
        <f>IFERROR(Table1323[[#This Row],[Rebate per luminaire, ($)]]*Table1323[[#This Row],[Quantity of luminaires or lamps]],0)</f>
        <v>0</v>
      </c>
      <c r="R155"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55" s="211" t="str">
        <f>IFERROR(IF(Table1323[[#This Row],[Quantity of luminaires or lamps]]="","",IF(Table1323[[#This Row],[Controls Rebate]]="",0,Table1323[[#This Row],[Controls Rebate]])+Table1323[[#This Row],[Lighting Rebate]]),"")</f>
        <v/>
      </c>
      <c r="T155"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55" s="213">
        <f>IFERROR(Table1323[[#This Row],[Rebate kW Savings]]*Table1323[[#This Row],[Annual hours from space type]],0)</f>
        <v>0</v>
      </c>
      <c r="V155"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55" s="213">
        <f>Table1323[[#This Row],[Rebate kWh savings]]+Table1323[[#This Row],[Controls Rebate kWh Savings]]</f>
        <v>0</v>
      </c>
      <c r="X155" s="214" t="str">
        <f>IFERROR(IF(Table1323[[#This Row],[Quantity of luminaires or lamps]]="","",Table1323[[#This Row],[Rebate kW Savings]]),0)</f>
        <v/>
      </c>
      <c r="Y155" s="215" t="str">
        <f>IFERROR(IF(Table1323[[#This Row],[Quantity of luminaires or lamps]]="","",Table1323[[#This Row],[Total Lighting Rebate Energy Savings]]),0)</f>
        <v/>
      </c>
      <c r="Z155" s="207"/>
      <c r="AA155" s="18" t="str">
        <f>IF(Table1323[[#This Row],[Selected for Implementation]]="Yes",IF(Table1323[[#This Row],[No]]="","",(CONCATENATE("Light_"&amp;Table1323[[#This Row],[Rebate Category]]&amp;Table1323[[#This Row],[LED lamp/luminaire retrofit part '#]]))),"")</f>
        <v/>
      </c>
      <c r="AB155" s="20" t="str" cm="1">
        <f t="array" ref="AB155">IFERROR(IF(Table1323[[#This Row],[Annual hours from space type]]&gt;=Table14[],Table1323[[#This Row],[Demand Savings, kW]],0),0)</f>
        <v/>
      </c>
      <c r="AC155" s="19" t="str">
        <f>IFERROR(INDEX(Table1[BC Hydro xRM ECM],MATCH(Table1323[[#This Row],[Rebate Category]],Table1[BC Hydro Rebate Category],0)),"")</f>
        <v/>
      </c>
      <c r="AD155" s="18">
        <f>IF(Table1323[[#This Row],[Selected for Implementation]]="Yes",1,0)</f>
        <v>0</v>
      </c>
      <c r="AE155" s="18" t="e">
        <f>Table1323[[#This Row],[Implement]]*Table1323[[#This Row],[Demand Savings, kW]]</f>
        <v>#VALUE!</v>
      </c>
      <c r="AF155" s="18" t="e">
        <f>Table1323[[#This Row],[Implement]]*Table1323[[#This Row],[BCH Peak kW]]</f>
        <v>#VALUE!</v>
      </c>
      <c r="AG155" s="18">
        <f>Table1323[[#This Row],[Implement]]*Table1323[[#This Row],[Rebate kWh savings]]</f>
        <v>0</v>
      </c>
      <c r="AH155" s="18">
        <f>Table1323[[#This Row],[Implement]]*Table1323[[#This Row],[Controls Rebate kWh Savings]]</f>
        <v>0</v>
      </c>
      <c r="AI155" s="233">
        <f>Table1323[[#This Row],[Implement]]*Table1323[[#This Row],[Controls Rebate]]</f>
        <v>0</v>
      </c>
      <c r="AJ155" s="569">
        <f>IF(Table1323[[#This Row],[iControls Incentives]]&gt;0,Table1323[[#This Row],[Number of  sensors]],0)</f>
        <v>0</v>
      </c>
      <c r="AK155" s="233">
        <f>Table1323[[#This Row],[Implement]]*Table1323[[#This Row],[Lighting Rebate]]</f>
        <v>0</v>
      </c>
    </row>
    <row r="156" spans="2:37" ht="32.15" customHeight="1" x14ac:dyDescent="0.3">
      <c r="B156" s="17" t="str">
        <f>IF(Table1323[[#This Row],[Space Type]]="","","L-"&amp;ROW(150:150))</f>
        <v/>
      </c>
      <c r="C156" s="206"/>
      <c r="D156" s="207"/>
      <c r="E156" s="207"/>
      <c r="F156" s="207"/>
      <c r="G156" s="208" t="str">
        <f>IFERROR(IF(Table1323[[#This Row],[No]]="","",IF(Table1323[[#This Row],[Space Type]]="","select Space Type",INDEX(Table5[Hours],MATCH(Table1323[[#This Row],[Space Type]],Table5[Space Type],0)))),"")</f>
        <v/>
      </c>
      <c r="H156" s="207"/>
      <c r="I156" s="207"/>
      <c r="J156" s="613" t="str">
        <f>IFERROR(INDEX(Table1[Integrated Controls Capable],MATCH(Table1323[[#This Row],[Rebate Category]],Table1[BC Hydro Rebate Category],0)),"")</f>
        <v/>
      </c>
      <c r="K156" s="207"/>
      <c r="L156" s="572" t="str" cm="1">
        <f t="array" ref="L156">IFERROR(INDEX(Table1[Rebate],MATCH(Table1323[[#This Row],[Rebate Category]],Table1[BC Hydro Rebate Category],0))+IF(AND(Table1323[[#This Row],[Integrated Controls Capable]],Table1323[[#This Row],[Fixture Integrated Occupancy/Daylight Harvesting Sensors?]]="Yes"),Table6[],0),"")</f>
        <v/>
      </c>
      <c r="M156" s="574" t="str">
        <f>IFERROR(IF(AND(Table1323[[#This Row],[Integrated Controls Capable]],Table1323[[#This Row],[Fixture Integrated Occupancy/Daylight Harvesting Sensors?]]="Yes"),"per integrated luminaire", INDEX(Table1[Rebate Unit],MATCH(Table1323[[#This Row],[Rebate Category]],Table1[BC Hydro Rebate Category],0))),"")</f>
        <v/>
      </c>
      <c r="N156" s="207"/>
      <c r="O156" s="207"/>
      <c r="P156" s="206"/>
      <c r="Q156" s="209">
        <f>IFERROR(Table1323[[#This Row],[Rebate per luminaire, ($)]]*Table1323[[#This Row],[Quantity of luminaires or lamps]],0)</f>
        <v>0</v>
      </c>
      <c r="R156" s="210">
        <f>IFERROR(IF(AND(Table1323[[#This Row],[Stand Alone Ceiling/Wall Mounted Occupancy/Daylight Harvesting Sensors?]]="Yes",OR(Table1323[[#This Row],[Integrated Controls Capable]]=FALSE,Table1323[[#This Row],[Fixture Integrated Occupancy/Daylight Harvesting Sensors?]]="None")),Table13[]*Table1323[[#This Row],[Number of  sensors]],0),0)</f>
        <v>0</v>
      </c>
      <c r="S156" s="211" t="str">
        <f>IFERROR(IF(Table1323[[#This Row],[Quantity of luminaires or lamps]]="","",IF(Table1323[[#This Row],[Controls Rebate]]="",0,Table1323[[#This Row],[Controls Rebate]])+Table1323[[#This Row],[Lighting Rebate]]),"")</f>
        <v/>
      </c>
      <c r="T156" s="212">
        <f>IFERROR(IF(Table1323[[#This Row],[Input / field setting wattage per new luminaire or lamp]]&lt;=0,0,(INDEX(Table1[Artificial Baseline W],MATCH(Table1323[[#This Row],[Rebate Category]],Table1[BC Hydro Rebate Category],0))-Table1323[[#This Row],[Input / field setting wattage per new luminaire or lamp]])*Table1323[[#This Row],[Quantity of luminaires or lamps]]/1000),0)</f>
        <v>0</v>
      </c>
      <c r="U156" s="213">
        <f>IFERROR(Table1323[[#This Row],[Rebate kW Savings]]*Table1323[[#This Row],[Annual hours from space type]],0)</f>
        <v>0</v>
      </c>
      <c r="V156" s="213">
        <f>IF(OR(Table1323[[#This Row],[Controls Rebate]]&gt;0,AND(Table1323[[#This Row],[Integrated Controls Capable]],Table1323[[#This Row],[Fixture Integrated Occupancy/Daylight Harvesting Sensors?]]="Yes")),Table1323[[#This Row],[Input / field setting wattage per new luminaire or lamp]]*Table1323[[#This Row],[Annual hours from space type]]*Table11[]*Table1323[[#This Row],[Quantity of luminaires or lamps]]/1000,0)</f>
        <v>0</v>
      </c>
      <c r="W156" s="213">
        <f>Table1323[[#This Row],[Rebate kWh savings]]+Table1323[[#This Row],[Controls Rebate kWh Savings]]</f>
        <v>0</v>
      </c>
      <c r="X156" s="214" t="str">
        <f>IFERROR(IF(Table1323[[#This Row],[Quantity of luminaires or lamps]]="","",Table1323[[#This Row],[Rebate kW Savings]]),0)</f>
        <v/>
      </c>
      <c r="Y156" s="215" t="str">
        <f>IFERROR(IF(Table1323[[#This Row],[Quantity of luminaires or lamps]]="","",Table1323[[#This Row],[Total Lighting Rebate Energy Savings]]),0)</f>
        <v/>
      </c>
      <c r="Z156" s="207"/>
      <c r="AA156" s="18" t="str">
        <f>IF(Table1323[[#This Row],[Selected for Implementation]]="Yes",IF(Table1323[[#This Row],[No]]="","",(CONCATENATE("Light_"&amp;Table1323[[#This Row],[Rebate Category]]&amp;Table1323[[#This Row],[LED lamp/luminaire retrofit part '#]]))),"")</f>
        <v/>
      </c>
      <c r="AB156" s="20" t="str" cm="1">
        <f t="array" ref="AB156">IFERROR(IF(Table1323[[#This Row],[Annual hours from space type]]&gt;=Table14[],Table1323[[#This Row],[Demand Savings, kW]],0),0)</f>
        <v/>
      </c>
      <c r="AC156" s="19" t="str">
        <f>IFERROR(INDEX(Table1[BC Hydro xRM ECM],MATCH(Table1323[[#This Row],[Rebate Category]],Table1[BC Hydro Rebate Category],0)),"")</f>
        <v/>
      </c>
      <c r="AD156" s="18">
        <f>IF(Table1323[[#This Row],[Selected for Implementation]]="Yes",1,0)</f>
        <v>0</v>
      </c>
      <c r="AE156" s="18" t="e">
        <f>Table1323[[#This Row],[Implement]]*Table1323[[#This Row],[Demand Savings, kW]]</f>
        <v>#VALUE!</v>
      </c>
      <c r="AF156" s="18" t="e">
        <f>Table1323[[#This Row],[Implement]]*Table1323[[#This Row],[BCH Peak kW]]</f>
        <v>#VALUE!</v>
      </c>
      <c r="AG156" s="18">
        <f>Table1323[[#This Row],[Implement]]*Table1323[[#This Row],[Rebate kWh savings]]</f>
        <v>0</v>
      </c>
      <c r="AH156" s="18">
        <f>Table1323[[#This Row],[Implement]]*Table1323[[#This Row],[Controls Rebate kWh Savings]]</f>
        <v>0</v>
      </c>
      <c r="AI156" s="233">
        <f>Table1323[[#This Row],[Implement]]*Table1323[[#This Row],[Controls Rebate]]</f>
        <v>0</v>
      </c>
      <c r="AJ156" s="569">
        <f>IF(Table1323[[#This Row],[iControls Incentives]]&gt;0,Table1323[[#This Row],[Number of  sensors]],0)</f>
        <v>0</v>
      </c>
      <c r="AK156" s="233">
        <f>Table1323[[#This Row],[Implement]]*Table1323[[#This Row],[Lighting Rebate]]</f>
        <v>0</v>
      </c>
    </row>
  </sheetData>
  <sheetProtection algorithmName="SHA-512" hashValue="xGggV0Bn/SLcJRTTupjbayOWT/+y1TMkf9bk71hZk1DkZDAt0aBRAs71U1CWhRjgRxpDsX0L2a7zzhi833n4yg==" saltValue="ykc9o2XcWP0MGOtI79EH9Q==" spinCount="100000" sheet="1" selectLockedCells="1"/>
  <mergeCells count="5">
    <mergeCell ref="D4:G5"/>
    <mergeCell ref="Q4:Y5"/>
    <mergeCell ref="AD4:AK4"/>
    <mergeCell ref="O4:P5"/>
    <mergeCell ref="H4:N5"/>
  </mergeCells>
  <phoneticPr fontId="65" type="noConversion"/>
  <conditionalFormatting sqref="P25:P156 P7:P20">
    <cfRule type="expression" dxfId="177" priority="4">
      <formula>OR($O7="",$O7="None",AND($K7="Yes",$J7))</formula>
    </cfRule>
  </conditionalFormatting>
  <conditionalFormatting sqref="K7:K156">
    <cfRule type="expression" dxfId="176" priority="2">
      <formula>OR($J7="",$J7=FALSE)</formula>
    </cfRule>
  </conditionalFormatting>
  <conditionalFormatting sqref="O7:O20 O25:O156">
    <cfRule type="expression" dxfId="175" priority="1">
      <formula>AND($K7="Yes",$J7)</formula>
    </cfRule>
  </conditionalFormatting>
  <conditionalFormatting sqref="O21:O22">
    <cfRule type="expression" dxfId="174" priority="9">
      <formula>AND($K23="Yes",$J23)</formula>
    </cfRule>
  </conditionalFormatting>
  <conditionalFormatting sqref="P21:P22">
    <cfRule type="expression" dxfId="173" priority="11">
      <formula>OR($O21="",$O21="None",AND($K23="Yes",$J23))</formula>
    </cfRule>
  </conditionalFormatting>
  <dataValidations count="6">
    <dataValidation type="list" errorStyle="warning" allowBlank="1" showInputMessage="1" showErrorMessage="1" errorTitle="Custom Space Type" error="User must enter baseilne operating hours if a custom space type is used" sqref="D7:D156" xr:uid="{D852507E-54B2-409B-9032-484A36FECCA7}">
      <formula1>Spaces</formula1>
    </dataValidation>
    <dataValidation type="list" allowBlank="1" showInputMessage="1" showErrorMessage="1" sqref="H7:H156" xr:uid="{06459EAC-FC28-4AB7-9170-40C58E5CCC45}">
      <formula1>RebateCategory</formula1>
    </dataValidation>
    <dataValidation type="list" errorStyle="warning" allowBlank="1" showInputMessage="1" showErrorMessage="1" errorTitle="Custom Space Type" error="User must enter baseilne operating hours if a custom space type is used" sqref="C7:C156" xr:uid="{8551F41F-FE08-437F-B3EB-970A6A236D1A}">
      <formula1>"Yes,No"</formula1>
    </dataValidation>
    <dataValidation type="list" allowBlank="1" showInputMessage="1" showErrorMessage="1" sqref="K7:K156 O25:O156 O7:O22" xr:uid="{A69EED6D-4341-4185-A2F3-60E147C45A28}">
      <formula1>"Yes,None"</formula1>
    </dataValidation>
    <dataValidation type="whole" operator="lessThanOrEqual" allowBlank="1" showInputMessage="1" showErrorMessage="1" errorTitle="Controls number error" error="Number of installed controls cannot exceed quantity of luminaires" sqref="P7:P20 P25:P156" xr:uid="{DB5B9EAF-756F-45AB-BA87-0C796AAA6F5B}">
      <formula1>F7</formula1>
    </dataValidation>
    <dataValidation type="whole" operator="lessThanOrEqual" allowBlank="1" showInputMessage="1" showErrorMessage="1" errorTitle="Controls number error" error="Number of installed controls cannot exceed quantity of luminaires" sqref="P21:P22" xr:uid="{ABDF2CFC-908D-48C0-B067-53724943F619}">
      <formula1>F23</formula1>
    </dataValidation>
  </dataValidations>
  <pageMargins left="0.7" right="0.7" top="0.75" bottom="0.75" header="0.3" footer="0.3"/>
  <pageSetup scale="4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C9A87-A9D4-43E7-AA3B-9EB8BACFA77A}">
  <sheetPr codeName="Sheet6">
    <tabColor rgb="FF9ADBE8"/>
    <pageSetUpPr fitToPage="1"/>
  </sheetPr>
  <dimension ref="A2:BH57"/>
  <sheetViews>
    <sheetView showGridLines="0" zoomScaleNormal="100" workbookViewId="0">
      <pane ySplit="7" topLeftCell="A8" activePane="bottomLeft" state="frozen"/>
      <selection activeCell="B9" sqref="B9:AH9"/>
      <selection pane="bottomLeft" activeCell="C8" sqref="C8"/>
    </sheetView>
  </sheetViews>
  <sheetFormatPr defaultColWidth="0" defaultRowHeight="14" x14ac:dyDescent="0.3"/>
  <cols>
    <col min="1" max="1" width="4.1796875" style="218" customWidth="1"/>
    <col min="2" max="2" width="8.81640625" style="218" customWidth="1"/>
    <col min="3" max="3" width="17.1796875" style="218" customWidth="1"/>
    <col min="4" max="4" width="21" style="218" customWidth="1"/>
    <col min="5" max="5" width="13.81640625" style="218" customWidth="1"/>
    <col min="6" max="6" width="18.81640625" style="218" customWidth="1"/>
    <col min="7" max="7" width="37.453125" style="218" customWidth="1"/>
    <col min="8" max="8" width="27.453125" style="218" hidden="1" customWidth="1"/>
    <col min="9" max="9" width="14.453125" style="218" hidden="1" customWidth="1"/>
    <col min="10" max="10" width="18.453125" style="218" customWidth="1"/>
    <col min="11" max="11" width="9.453125" style="218" hidden="1" customWidth="1"/>
    <col min="12" max="12" width="25.1796875" style="218" customWidth="1"/>
    <col min="13" max="13" width="17.453125" style="218" customWidth="1"/>
    <col min="14" max="14" width="22.1796875" style="218" customWidth="1"/>
    <col min="15" max="15" width="16.453125" style="218" customWidth="1"/>
    <col min="16" max="27" width="9.453125" style="218" hidden="1" customWidth="1"/>
    <col min="28" max="28" width="11.81640625" style="218" hidden="1" customWidth="1"/>
    <col min="29" max="38" width="9.453125" style="218" hidden="1" customWidth="1"/>
    <col min="39" max="39" width="9" style="218" hidden="1" customWidth="1"/>
    <col min="40" max="47" width="11.81640625" style="218" customWidth="1"/>
    <col min="48" max="56" width="10.453125" style="217" hidden="1" customWidth="1"/>
    <col min="57" max="59" width="15.453125" style="217" hidden="1" customWidth="1"/>
    <col min="60" max="60" width="59" style="218" customWidth="1"/>
    <col min="61" max="16384" width="8.81640625" style="218" hidden="1"/>
  </cols>
  <sheetData>
    <row r="2" spans="1:60" ht="15.5" x14ac:dyDescent="0.3">
      <c r="C2" s="442" t="s">
        <v>664</v>
      </c>
      <c r="D2" s="441"/>
      <c r="F2" s="443"/>
      <c r="G2" s="242" t="s">
        <v>198</v>
      </c>
    </row>
    <row r="4" spans="1:60" x14ac:dyDescent="0.3">
      <c r="D4" s="649" t="s">
        <v>467</v>
      </c>
      <c r="E4" s="649"/>
      <c r="F4" s="650" t="s">
        <v>465</v>
      </c>
      <c r="G4" s="650"/>
      <c r="H4" s="650"/>
      <c r="I4" s="650"/>
      <c r="J4" s="651"/>
      <c r="K4" s="295" t="s">
        <v>279</v>
      </c>
      <c r="L4" s="649" t="s">
        <v>273</v>
      </c>
      <c r="M4" s="661"/>
      <c r="N4" s="662" t="s">
        <v>275</v>
      </c>
      <c r="O4" s="663"/>
      <c r="P4" s="652" t="s">
        <v>406</v>
      </c>
      <c r="Q4" s="652"/>
      <c r="R4" s="652"/>
      <c r="S4" s="652"/>
      <c r="T4" s="652"/>
      <c r="U4" s="653"/>
      <c r="V4" s="654" t="s">
        <v>280</v>
      </c>
      <c r="W4" s="654"/>
      <c r="X4" s="654"/>
      <c r="Y4" s="654"/>
      <c r="Z4" s="654"/>
      <c r="AA4" s="654"/>
      <c r="AB4" s="654"/>
      <c r="AC4" s="654"/>
      <c r="AD4" s="654"/>
      <c r="AE4" s="654"/>
      <c r="AF4" s="654"/>
      <c r="AG4" s="654"/>
      <c r="AH4" s="654"/>
      <c r="AI4" s="654"/>
      <c r="AJ4" s="654"/>
      <c r="AK4" s="654"/>
      <c r="AL4" s="654"/>
      <c r="AM4" s="654"/>
      <c r="AN4" s="655" t="s">
        <v>642</v>
      </c>
      <c r="AO4" s="656"/>
      <c r="AP4" s="656"/>
      <c r="AQ4" s="656"/>
      <c r="AR4" s="656"/>
      <c r="AS4" s="656"/>
      <c r="AT4" s="656"/>
      <c r="AU4" s="656"/>
      <c r="BH4" s="568"/>
    </row>
    <row r="5" spans="1:60" x14ac:dyDescent="0.3">
      <c r="D5" s="649"/>
      <c r="E5" s="649"/>
      <c r="F5" s="650"/>
      <c r="G5" s="650"/>
      <c r="H5" s="650"/>
      <c r="I5" s="650"/>
      <c r="J5" s="651"/>
      <c r="K5" s="295"/>
      <c r="L5" s="649"/>
      <c r="M5" s="661"/>
      <c r="N5" s="662"/>
      <c r="O5" s="663"/>
      <c r="P5" s="652"/>
      <c r="Q5" s="652"/>
      <c r="R5" s="652"/>
      <c r="S5" s="652"/>
      <c r="T5" s="652"/>
      <c r="U5" s="653"/>
      <c r="V5" s="657" t="s">
        <v>71</v>
      </c>
      <c r="W5" s="657"/>
      <c r="X5" s="657"/>
      <c r="Y5" s="658" t="s">
        <v>75</v>
      </c>
      <c r="Z5" s="659"/>
      <c r="AA5" s="660"/>
      <c r="AB5" s="658" t="s">
        <v>78</v>
      </c>
      <c r="AC5" s="659"/>
      <c r="AD5" s="660"/>
      <c r="AE5" s="657" t="s">
        <v>67</v>
      </c>
      <c r="AF5" s="657"/>
      <c r="AG5" s="657"/>
      <c r="AH5" s="657" t="s">
        <v>70</v>
      </c>
      <c r="AI5" s="657"/>
      <c r="AJ5" s="657"/>
      <c r="AK5" s="657" t="s">
        <v>72</v>
      </c>
      <c r="AL5" s="657"/>
      <c r="AM5" s="657"/>
      <c r="AN5" s="655"/>
      <c r="AO5" s="656"/>
      <c r="AP5" s="656"/>
      <c r="AQ5" s="656"/>
      <c r="AR5" s="656"/>
      <c r="AS5" s="656"/>
      <c r="AT5" s="656"/>
      <c r="AU5" s="656"/>
      <c r="BC5" s="491">
        <f>SUM(NLTable[GHG Measure Life])</f>
        <v>0</v>
      </c>
      <c r="BG5" s="491">
        <f>SUM(NLTable[Glazing sqft])</f>
        <v>0</v>
      </c>
      <c r="BH5" s="568"/>
    </row>
    <row r="6" spans="1:60" ht="14.15" hidden="1" customHeight="1" x14ac:dyDescent="0.3">
      <c r="D6" s="298"/>
      <c r="E6" s="299"/>
      <c r="F6" s="298"/>
      <c r="G6" s="300"/>
      <c r="H6" s="300"/>
      <c r="I6" s="300"/>
      <c r="J6" s="301"/>
      <c r="K6" s="295"/>
      <c r="L6" s="296"/>
      <c r="M6" s="297"/>
      <c r="N6" s="444"/>
      <c r="O6" s="445"/>
      <c r="P6" s="652"/>
      <c r="Q6" s="652"/>
      <c r="R6" s="652"/>
      <c r="S6" s="652"/>
      <c r="T6" s="652"/>
      <c r="U6" s="653"/>
      <c r="V6" s="302" t="s">
        <v>281</v>
      </c>
      <c r="W6" s="302" t="s">
        <v>282</v>
      </c>
      <c r="X6" s="302" t="s">
        <v>282</v>
      </c>
      <c r="Y6" s="302"/>
      <c r="Z6" s="302"/>
      <c r="AA6" s="302"/>
      <c r="AB6" s="302" t="s">
        <v>281</v>
      </c>
      <c r="AC6" s="302" t="s">
        <v>282</v>
      </c>
      <c r="AD6" s="302" t="s">
        <v>282</v>
      </c>
      <c r="AE6" s="302" t="s">
        <v>281</v>
      </c>
      <c r="AF6" s="302" t="s">
        <v>282</v>
      </c>
      <c r="AG6" s="302" t="s">
        <v>282</v>
      </c>
      <c r="AH6" s="302" t="s">
        <v>281</v>
      </c>
      <c r="AI6" s="302" t="s">
        <v>282</v>
      </c>
      <c r="AJ6" s="302" t="s">
        <v>282</v>
      </c>
      <c r="AK6" s="302" t="s">
        <v>281</v>
      </c>
      <c r="AL6" s="302" t="s">
        <v>282</v>
      </c>
      <c r="AM6" s="302" t="s">
        <v>282</v>
      </c>
      <c r="AN6" s="655"/>
      <c r="AO6" s="656"/>
      <c r="AP6" s="656"/>
      <c r="AQ6" s="656"/>
      <c r="AR6" s="656"/>
      <c r="AS6" s="656"/>
      <c r="AT6" s="656"/>
      <c r="AU6" s="656"/>
    </row>
    <row r="7" spans="1:60" s="478" customFormat="1" ht="64" customHeight="1" thickBot="1" x14ac:dyDescent="0.4">
      <c r="B7" s="470" t="s">
        <v>25</v>
      </c>
      <c r="C7" s="471" t="s">
        <v>417</v>
      </c>
      <c r="D7" s="471" t="s">
        <v>419</v>
      </c>
      <c r="E7" s="471" t="s">
        <v>339</v>
      </c>
      <c r="F7" s="472" t="s">
        <v>762</v>
      </c>
      <c r="G7" s="472" t="s">
        <v>468</v>
      </c>
      <c r="H7" s="472" t="s">
        <v>142</v>
      </c>
      <c r="I7" s="472" t="s">
        <v>155</v>
      </c>
      <c r="J7" s="472" t="s">
        <v>19</v>
      </c>
      <c r="K7" s="471" t="s">
        <v>283</v>
      </c>
      <c r="L7" s="471" t="s">
        <v>284</v>
      </c>
      <c r="M7" s="471" t="s">
        <v>285</v>
      </c>
      <c r="N7" s="472" t="s">
        <v>286</v>
      </c>
      <c r="O7" s="472" t="s">
        <v>287</v>
      </c>
      <c r="P7" s="473" t="s">
        <v>71</v>
      </c>
      <c r="Q7" s="473" t="s">
        <v>75</v>
      </c>
      <c r="R7" s="473" t="s">
        <v>78</v>
      </c>
      <c r="S7" s="473" t="s">
        <v>79</v>
      </c>
      <c r="T7" s="473" t="s">
        <v>288</v>
      </c>
      <c r="U7" s="473" t="s">
        <v>289</v>
      </c>
      <c r="V7" s="474" t="s">
        <v>290</v>
      </c>
      <c r="W7" s="474" t="s">
        <v>291</v>
      </c>
      <c r="X7" s="474" t="s">
        <v>292</v>
      </c>
      <c r="Y7" s="474" t="s">
        <v>293</v>
      </c>
      <c r="Z7" s="474" t="s">
        <v>294</v>
      </c>
      <c r="AA7" s="474" t="s">
        <v>295</v>
      </c>
      <c r="AB7" s="474" t="s">
        <v>296</v>
      </c>
      <c r="AC7" s="474" t="s">
        <v>297</v>
      </c>
      <c r="AD7" s="474" t="s">
        <v>298</v>
      </c>
      <c r="AE7" s="474" t="s">
        <v>299</v>
      </c>
      <c r="AF7" s="474" t="s">
        <v>300</v>
      </c>
      <c r="AG7" s="474" t="s">
        <v>301</v>
      </c>
      <c r="AH7" s="474" t="s">
        <v>302</v>
      </c>
      <c r="AI7" s="474" t="s">
        <v>303</v>
      </c>
      <c r="AJ7" s="474" t="s">
        <v>304</v>
      </c>
      <c r="AK7" s="474" t="s">
        <v>305</v>
      </c>
      <c r="AL7" s="474" t="s">
        <v>306</v>
      </c>
      <c r="AM7" s="474" t="s">
        <v>307</v>
      </c>
      <c r="AN7" s="475" t="s">
        <v>665</v>
      </c>
      <c r="AO7" s="475" t="s">
        <v>729</v>
      </c>
      <c r="AP7" s="475" t="s">
        <v>308</v>
      </c>
      <c r="AQ7" s="475" t="s">
        <v>309</v>
      </c>
      <c r="AR7" s="475" t="s">
        <v>310</v>
      </c>
      <c r="AS7" s="475" t="s">
        <v>311</v>
      </c>
      <c r="AT7" s="476" t="s">
        <v>312</v>
      </c>
      <c r="AU7" s="476" t="s">
        <v>666</v>
      </c>
      <c r="AV7" s="477" t="s">
        <v>418</v>
      </c>
      <c r="AW7" s="477" t="s">
        <v>420</v>
      </c>
      <c r="AX7" s="477" t="s">
        <v>421</v>
      </c>
      <c r="AY7" s="477" t="s">
        <v>422</v>
      </c>
      <c r="AZ7" s="477" t="s">
        <v>425</v>
      </c>
      <c r="BA7" s="477" t="s">
        <v>423</v>
      </c>
      <c r="BB7" s="477" t="s">
        <v>424</v>
      </c>
      <c r="BC7" s="477" t="s">
        <v>670</v>
      </c>
      <c r="BD7" s="477" t="s">
        <v>682</v>
      </c>
      <c r="BE7" s="477" t="s">
        <v>338</v>
      </c>
      <c r="BF7" s="477" t="s">
        <v>329</v>
      </c>
      <c r="BG7" s="618" t="s">
        <v>831</v>
      </c>
      <c r="BH7" s="568" t="s">
        <v>773</v>
      </c>
    </row>
    <row r="8" spans="1:60" s="220" customFormat="1" ht="24.65" customHeight="1" x14ac:dyDescent="0.3">
      <c r="A8" s="479"/>
      <c r="B8" s="480" t="str">
        <f>IF(NLTable[[#This Row],[Baseline equipment energy source (or heating source for envelope measures)]]="","","NL-"&amp;(ROW(B8)-3)/5)</f>
        <v/>
      </c>
      <c r="C8" s="48"/>
      <c r="D8" s="48"/>
      <c r="E8" s="48"/>
      <c r="F8" s="303" t="str">
        <f>IF(ISBLANK(NLTable[[#This Row],[Baseline equipment energy source (or heating source for envelope measures)]]),"",IF(NLTable[[#This Row],[Baseline equipment energy source (or heating source for envelope measures)]]="Electricity", "EE", "LCE"))</f>
        <v/>
      </c>
      <c r="G8" s="49"/>
      <c r="H8" s="219" t="str">
        <f>"Mech_"&amp;NLTable[[#This Row],[Measure Type (Energy Efficiency or Low Carbon Electrification)]]&amp;"-"&amp;NLTable[[#This Row],[Energy Measure]]</f>
        <v>Mech_-</v>
      </c>
      <c r="I8" s="304" t="str">
        <f>IF(NLTable[[#This Row],[End-Use]]="","",INDEX(NLIndexTable[CalcMethod],MATCH(NLTable[[#This Row],[Energy Measure]],NLIndexTable[BCH Rerofit Technology],0)))</f>
        <v/>
      </c>
      <c r="J8" s="305" t="str">
        <f>IFERROR(INDEX(NLIndexTable[BC Hydro pu],MATCH(NLTable[[#This Row],[Unique Name]],NLIndexTable[Unique Name],0)),"")</f>
        <v/>
      </c>
      <c r="K8" s="306">
        <v>1</v>
      </c>
      <c r="L8" s="307" t="str">
        <f>IFERROR(INDEX(NLBaselineParam[#Data],MATCH(NLTable[[#This Row],[Index]],NLBaselineParam[Var],0),MATCH(NLTable[[#This Row],[CalcMethod]],NLBaselineParam[#Headers],0)),"")</f>
        <v/>
      </c>
      <c r="M8" s="528"/>
      <c r="N8" s="308" t="str">
        <f>IFERROR(INDEX(NLProposedParam[#Data],MATCH(NLTable[[#This Row],[Index]],NLProposedParam[Var],0),MATCH(NLTable[[#This Row],[CalcMethod]],NLProposedParam[#Headers],0)),"")</f>
        <v/>
      </c>
      <c r="O8" s="528"/>
      <c r="P8" s="309" t="str">
        <f>IF(NLTable[[#This Row],[CalcMethod]]="DHW",IF(NLTable[[#This Row],[Rebate Unit]]="per unit",M9*INDEX(NLIndexTable[BC Hydro Rebate],MATCH(NLTable[[#This Row],[Unique Name]],NLIndexTable[Unique Name],0)),M8*INDEX(NLIndexTable[BC Hydro Rebate],MATCH(NLTable[[#This Row],[Unique Name]],NLIndexTable[Unique Name],0))),"")</f>
        <v/>
      </c>
      <c r="Q8" s="309" t="str">
        <f>IF(NLTable[[#This Row],[CalcMethod]]="Windows",MIN(INDEX(NLIndexTable[BC Hydro Rebate],MATCH(NLTable[[#This Row],[Unique Name]],NLIndexTable[Unique Name],0))*O9,NLTable[[#This Row],[Retrofit Values]]*1200),IF(NLTable[[#This Row],[CalcMethod]]="Envelope",INDEX(NLIndexTable[BC Hydro Rebate],MATCH(NLTable[[#This Row],[Unique Name]],NLIndexTable[Unique Name],0))*O9,""))</f>
        <v/>
      </c>
      <c r="R8" s="309" t="str">
        <f>IF(NLTable[[#This Row],[End-Use]]="HVAC",IF(NLTable[[#This Row],[CalcMethod]]="HVAC-MUA",O9*INDEX(NLIndexTable[BC Hydro Rebate],MATCH(NLTable[[#This Row],[Unique Name]],NLIndexTable[Unique Name],0)),O8*INDEX(NLIndexTable[BC Hydro Rebate],MATCH(NLTable[[#This Row],[Unique Name]],NLIndexTable[Unique Name],0))),"")</f>
        <v/>
      </c>
      <c r="S8" s="309" t="str">
        <f>IF(NLTable[[#This Row],[Measure Type (Energy Efficiency or Low Carbon Electrification)]]="EE",IF(NLTable[[#This Row],[CalcMethod]]="Commercial Kitchen",O8*INDEX(NLIndexTable[BC Hydro Rebate],MATCH(NLTable[[#This Row],[Unique Name]],NLIndexTable[Unique Name],0)),""),"")</f>
        <v/>
      </c>
      <c r="T8" s="309" t="str">
        <f>IF(NLTable[[#This Row],[CalcMethod]]="Mechanical",IF(NLTable[[#This Row],[Rebate Unit]]="per unit",M9*INDEX(NLIndexTable[BC Hydro Rebate],MATCH(NLTable[[#This Row],[Unique Name]],NLIndexTable[Unique Name],0)),M9*M8*INDEX(NLIndexTable[BC Hydro Rebate],MATCH(NLTable[[#This Row],[Unique Name]],NLIndexTable[Unique Name],0))),"")</f>
        <v/>
      </c>
      <c r="U8" s="309" t="str">
        <f>IF(NLTable[[#This Row],[CalcMethod]]="Refrigeration",O8*INDEX(NLIndexTable[BC Hydro Rebate],MATCH(NLTable[[#This Row],[Unique Name]],NLIndexTable[Unique Name],0)),"")</f>
        <v/>
      </c>
      <c r="V8" s="310" t="str">
        <f>IF(NLTable[[#This Row],[CalcMethod]]="DHW",INDEX(NLIndexTable[Elec Savings kWh],MATCH(NLTable[[#This Row],[Unique Name]],NLIndexTable[Unique Name],0))*M8,"")</f>
        <v/>
      </c>
      <c r="W8" s="310" t="str">
        <f>IF(NLTable[[#This Row],[CalcMethod]]="DHW",INDEX(NLIndexTable[kW Savings],MATCH(NLTable[[#This Row],[Unique Name]],NLIndexTable[Unique Name],0))*M8,"")</f>
        <v/>
      </c>
      <c r="X8" s="310" t="str">
        <f>IF(NLTable[[#This Row],[CalcMethod]]="DHW",INDEX(NLIndexTable[Gas Savings kWh],MATCH(NLTable[[#This Row],[Unique Name]],NLIndexTable[Unique Name],0))*M8/277.78,"")</f>
        <v/>
      </c>
      <c r="Y8" s="310" t="str">
        <f>IF(NLTable[[#This Row],[CalcMethod]]="Envelope",INDEX(NLIndexTable[Elec Savings kWh],MATCH(NLTable[[#This Row],[Unique Name]],NLIndexTable[Unique Name],0))*M8/100,IF(NLTable[[#This Row],[CalcMethod]]="Windows",INDEX(NLIndexTable[Elec Savings kWh],MATCH(NLTable[[#This Row],[Unique Name]],NLIndexTable[Unique Name],0))*M8/100,""))</f>
        <v/>
      </c>
      <c r="Z8" s="310"/>
      <c r="AA8" s="310"/>
      <c r="AB8" s="310" t="str">
        <f>IF(OR(NLTable[[#This Row],[CalcMethod]]="HVAC-HP-Heads",NLTable[[#This Row],[CalcMethod]]="HVAC-HP-Suite",NLTable[[#This Row],[CalcMethod]]="HVAC-HP-Tons",NLTable[[#This Row],[CalcMethod]]="HVAC-PTHP",NLTable[[#This Row],[CalcMethod]]="HVAC-MUA"),INDEX(NLIndexTable[Elec Savings kWh],MATCH(NLTable[[#This Row],[Unique Name]],NLIndexTable[Unique Name],0))*M8*'Project Info'!$C$69*IF(NLTable[[#This Row],[CalcMethod]]="HVAC-MUA",1,MIN(O9*'Project Info'!$H$118/(NLTable[[#This Row],[Baseline Values]]*'Project Info'!$C$69*'Project Info'!$D$97*3.41/1000),1)),"")</f>
        <v/>
      </c>
      <c r="AC8" s="310" t="str">
        <f>IF(OR(NLTable[[#This Row],[CalcMethod]]="HVAC-HP-Heads",NLTable[[#This Row],[CalcMethod]]="HVAC-HP-Suite",NLTable[[#This Row],[CalcMethod]]="HVAC-HP-Tons",NLTable[[#This Row],[CalcMethod]]="HVAC-PTHP",NLTable[[#This Row],[CalcMethod]]="HVAC-MUA"),INDEX(NLIndexTable[kW Savings],MATCH(NLTable[[#This Row],[Unique Name]],NLIndexTable[Unique Name],0))*M8*'Project Info'!$C$69*IF(NLTable[[#This Row],[CalcMethod]]="HVAC-MUA",1,MIN(O9*'Project Info'!$H$118/(NLTable[[#This Row],[Baseline Values]]*'Project Info'!$C$69*'Project Info'!$D$97*3.41/1000),1)),"")</f>
        <v/>
      </c>
      <c r="AD8" s="310"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Name],0))*M8*'Project Info'!$C$69*IF(NLTable[[#This Row],[CalcMethod]]="HVAC-MUA",1,MIN(O9*'Project Info'!$H$118/(NLTable[[#This Row],[Baseline Values]]*'Project Info'!$C$69*'Project Info'!$D$97*3.41/1000),1))/277.78,"")</f>
        <v/>
      </c>
      <c r="AE8" s="310" t="str">
        <f>IF(NLTable[[#This Row],[CalcMethod]]="Commercial Kitchen",INDEX(NLIndexTable[Elec Savings kWh],MATCH(NLTable[[#This Row],[Unique Name]],NLIndexTable[Unique Name],0))*O8,"")</f>
        <v/>
      </c>
      <c r="AF8" s="310" t="str">
        <f>IF(NLTable[[#This Row],[CalcMethod]]="Commercial Kitchen",IF(NLTable[[#This Row],[Measure Type (Energy Efficiency or Low Carbon Electrification)]]="LCE",-1*O9*NLTable[[#This Row],[Retrofit Values]],NLTable[[#This Row],[Baseline Values]]*M9-NLTable[[#This Row],[Retrofit Values]]*O9),"")</f>
        <v/>
      </c>
      <c r="AG8" s="310" t="str">
        <f>IF(NLTable[[#This Row],[CalcMethod]]="Commercial Kitchen",INDEX(NLIndexTable[Gas Savings kWh],MATCH(NLTable[[#This Row],[Unique Name]],NLIndexTable[Unique Name],0))*O8,"")</f>
        <v/>
      </c>
      <c r="AH8" s="310" t="str">
        <f>IF(NLTable[[#This Row],[CalcMethod]]="Mechanical",IF(NLTable[[#This Row],[Unique Name]]="Mech_EE-Parkade CO - HVAC Controls",NLTable[[#This Row],[Baseline Values]]*0.7457*M9*(M10-O8),(NLTable[[#This Row],[Baseline Values]]*M9*0.7457*M10)-(NLTable[[#This Row],[Baseline Values]]*M9*0.7457*0.75^2.5*O8)),"")</f>
        <v/>
      </c>
      <c r="AI8" s="310"/>
      <c r="AJ8" s="310"/>
      <c r="AK8" s="310" t="str">
        <f>IF(OR(NLTable[[#This Row],[CalcMethod]]="Refrigeration",NLTable[[#This Row],[CalcMethod]]="Refrig-cases"),INDEX(NLIndexTable[Elec Savings kWh],MATCH(NLTable[[#This Row],[Unique Name]],NLIndexTable[Unique Name],0))*O8,"")</f>
        <v/>
      </c>
      <c r="AL8" s="310" t="str">
        <f>IF(NLTable[[#This Row],[CalcMethod]]="Refrigeration",NLTable[[#This Row],[Baseline Values]]*M9-NLTable[[#This Row],[Retrofit Values]]*O9,"")</f>
        <v/>
      </c>
      <c r="AM8" s="310"/>
      <c r="AN8" s="311">
        <f>MIN(SUM(NLTable[[#This Row],[DHW]:[Refrig]]),NLTable[[#This Row],[Total Capital Cost, $]])</f>
        <v>0</v>
      </c>
      <c r="AO8" s="312">
        <f>SUM(NLTable[[#This Row],[DHW-kWh]],NLTable[[#This Row],[Env-kWH]],NLTable[[#This Row],[HVAC-kWH]],NLTable[[#This Row],[CK-kWH]],NLTable[[#This Row],[Mech-kWh]],NLTable[[#This Row],[Refg-kWh]])</f>
        <v>0</v>
      </c>
      <c r="AP8" s="312">
        <f>SUM(NLTable[[#This Row],[DHW-kW]],NLTable[[#This Row],[Env-kW]],NLTable[[#This Row],[HVAC-kW]],NLTable[[#This Row],[CK-kW]],NLTable[[#This Row],[Mech-kW]],NLTable[[#This Row],[Refg-kW]])</f>
        <v>0</v>
      </c>
      <c r="AQ8" s="312">
        <f>SUM(NLTable[[#This Row],[DHW-GJ]],NLTable[[#This Row],[Env-GJ]],NLTable[[#This Row],[HVAC-GJ]],NLTable[[#This Row],[CK-GJ]],NLTable[[#This Row],[Mech-GJ]],NLTable[[#This Row],[Refg-GJ]])</f>
        <v>0</v>
      </c>
      <c r="AR8" s="311" t="e">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#N/A</v>
      </c>
      <c r="AS8" s="312">
        <f>NLTable[[#This Row],[Nat. Gas Savings, GJ/yr]]*50/1000</f>
        <v>0</v>
      </c>
      <c r="AT8" s="312" cm="1">
        <f t="array" ref="AT8">SUM(IF(N8:N12="Total Capital Cost ($)",O8:O12,0))</f>
        <v>0</v>
      </c>
      <c r="AU8" s="313" t="str">
        <f>IFERROR(IF((NLTable[[#This Row],[Total Capital Cost, $]]-NLTable[[#This Row],[Total Rebate]])/NLTable[[#This Row],[Est. Energy Cost Savings, $]]&gt;0,(NLTable[[#This Row],[Total Capital Cost, $]]-NLTable[[#This Row],[Total Rebate]])/NLTable[[#This Row],[Est. Energy Cost Savings, $]],"No Payback"),"")</f>
        <v/>
      </c>
      <c r="AV8" s="314">
        <f>IF(NLTable[[#This Row],[Selected for Implementation]]="Yes",1,0)</f>
        <v>0</v>
      </c>
      <c r="AW8" s="314">
        <f>NLTable[[#This Row],[Implement]]*NLTable[[#This Row],[Total Rebate]]</f>
        <v>0</v>
      </c>
      <c r="AX8" s="314">
        <f>NLTable[[#This Row],[Implement]]*NLTable[[#This Row],[Electric Savings, kWh/yr]]</f>
        <v>0</v>
      </c>
      <c r="AY8" s="314">
        <f>NLTable[[#This Row],[Implement]]*NLTable[[#This Row],[Peak Demand Savings, kW]]</f>
        <v>0</v>
      </c>
      <c r="AZ8" s="314">
        <f>NLTable[[#This Row],[Implement]]*NLTable[[#This Row],[Nat. Gas Savings, GJ/yr]]</f>
        <v>0</v>
      </c>
      <c r="BA8" s="314" t="e">
        <f>NLTable[[#This Row],[Implement]]*NLTable[[#This Row],[Est. Energy Cost Savings, $]]</f>
        <v>#N/A</v>
      </c>
      <c r="BB8" s="314">
        <f>NLTable[[#This Row],[Implement]]*NLTable[[#This Row],[GHG Reduction, tCO2e/yr]]</f>
        <v>0</v>
      </c>
      <c r="BC8" s="314">
        <f>IFERROR(NLTable[[#This Row],[GHG Reduction]]*INDEX(NLIndexTable[Persistence],MATCH(NLTable[[#This Row],[Unique Name]],NLIndexTable[Unique Name],0)),0)</f>
        <v>0</v>
      </c>
      <c r="BD8" s="314">
        <f>NLTable[[#This Row],[Implement]]*NLTable[[#This Row],[Total Capital Cost, $]]</f>
        <v>0</v>
      </c>
      <c r="BE8" s="314" t="str">
        <f>IFERROR(INDEX(NLIndexTable[Equivalent xRM ECM],MATCH(NLTable[[#This Row],[Concatenate]],NLIndexTable[Unique Name],0)),"")</f>
        <v/>
      </c>
      <c r="BF8" s="579" t="str">
        <f>IF(NLTable[[#This Row],[Selected for Implementation]]="Yes",IF(NLTable[[#This Row],[No]]="","",NLTable[[#This Row],[Unique Name]]),"")</f>
        <v/>
      </c>
      <c r="BG8" s="617" cm="1">
        <f t="array" ref="BG8">IFERROR(IF(NLTable[[#This Row],[Implement]],SUM(IF(N8:N12="Total Area of Glazing Installed (ft2)",O8:O12,0)),0),0)</f>
        <v>0</v>
      </c>
      <c r="BH8" s="646"/>
    </row>
    <row r="9" spans="1:60" ht="24.65" customHeight="1" x14ac:dyDescent="0.3">
      <c r="A9" s="479"/>
      <c r="B9" s="481"/>
      <c r="C9" s="315"/>
      <c r="D9" s="221">
        <f t="shared" ref="D9:J9" si="0">D8</f>
        <v>0</v>
      </c>
      <c r="E9" s="221">
        <f t="shared" si="0"/>
        <v>0</v>
      </c>
      <c r="F9" s="221" t="str">
        <f t="shared" si="0"/>
        <v/>
      </c>
      <c r="G9" s="221">
        <f t="shared" si="0"/>
        <v>0</v>
      </c>
      <c r="H9" s="221" t="str">
        <f t="shared" si="0"/>
        <v>Mech_-</v>
      </c>
      <c r="I9" s="221" t="str">
        <f t="shared" si="0"/>
        <v/>
      </c>
      <c r="J9" s="222" t="str">
        <f t="shared" si="0"/>
        <v/>
      </c>
      <c r="K9" s="316">
        <v>2</v>
      </c>
      <c r="L9" s="317" t="str">
        <f>IFERROR(INDEX(NLBaselineParam[#Data],MATCH(NLTable[[#This Row],[Index]],NLBaselineParam[Var],0),MATCH(NLTable[[#This Row],[CalcMethod]],NLBaselineParam[#Headers],0)),"")</f>
        <v/>
      </c>
      <c r="M9" s="529"/>
      <c r="N9" s="318" t="str">
        <f>IFERROR(INDEX(NLProposedParam[#Data],MATCH(NLTable[[#This Row],[Index]],NLProposedParam[Var],0),MATCH(NLTable[[#This Row],[CalcMethod]],NLProposedParam[#Headers],0)),"")</f>
        <v/>
      </c>
      <c r="O9" s="529"/>
      <c r="P9" s="319"/>
      <c r="Q9" s="319"/>
      <c r="R9" s="319"/>
      <c r="S9" s="319"/>
      <c r="T9" s="319"/>
      <c r="U9" s="319"/>
      <c r="V9" s="320"/>
      <c r="W9" s="320"/>
      <c r="X9" s="320"/>
      <c r="Y9" s="320"/>
      <c r="Z9" s="320"/>
      <c r="AA9" s="320"/>
      <c r="AB9" s="320"/>
      <c r="AC9" s="320"/>
      <c r="AD9" s="320"/>
      <c r="AE9" s="320"/>
      <c r="AF9" s="320"/>
      <c r="AG9" s="320"/>
      <c r="AH9" s="320"/>
      <c r="AI9" s="320"/>
      <c r="AJ9" s="320"/>
      <c r="AK9" s="320"/>
      <c r="AL9" s="320"/>
      <c r="AM9" s="320"/>
      <c r="AN9" s="221"/>
      <c r="AO9" s="221"/>
      <c r="AP9" s="221"/>
      <c r="AQ9" s="221"/>
      <c r="AR9" s="221"/>
      <c r="AS9" s="221"/>
      <c r="AT9" s="221"/>
      <c r="AU9" s="223"/>
      <c r="AV9" s="314">
        <f>IF(NLTable[[#This Row],[Selected for Implementation]]="Yes",1,0)</f>
        <v>0</v>
      </c>
      <c r="AW9" s="314">
        <f>NLTable[[#This Row],[Implement]]*NLTable[[#This Row],[Total Rebate]]</f>
        <v>0</v>
      </c>
      <c r="AX9" s="314">
        <f>NLTable[[#This Row],[Implement]]*NLTable[[#This Row],[Electric Savings, kWh/yr]]</f>
        <v>0</v>
      </c>
      <c r="AY9" s="314">
        <f>NLTable[[#This Row],[Implement]]*NLTable[[#This Row],[Peak Demand Savings, kW]]</f>
        <v>0</v>
      </c>
      <c r="AZ9" s="314">
        <f>NLTable[[#This Row],[Implement]]*NLTable[[#This Row],[Nat. Gas Savings, GJ/yr]]</f>
        <v>0</v>
      </c>
      <c r="BA9" s="314">
        <f>NLTable[[#This Row],[Implement]]*NLTable[[#This Row],[Est. Energy Cost Savings, $]]</f>
        <v>0</v>
      </c>
      <c r="BB9" s="314">
        <f>NLTable[[#This Row],[Implement]]*NLTable[[#This Row],[GHG Reduction, tCO2e/yr]]</f>
        <v>0</v>
      </c>
      <c r="BC9" s="314">
        <f>IFERROR(NLTable[[#This Row],[GHG Reduction]]*INDEX(NLIndexTable[Persistence],MATCH(NLTable[[#This Row],[Unique Name]],NLIndexTable[Unique Name],0)),0)</f>
        <v>0</v>
      </c>
      <c r="BD9" s="314">
        <f>NLTable[[#This Row],[Implement]]*NLTable[[#This Row],[Total Capital Cost, $]]</f>
        <v>0</v>
      </c>
      <c r="BE9" s="321" t="str">
        <f>""</f>
        <v/>
      </c>
      <c r="BF9" s="579" t="str">
        <f>IF(NLTable[[#This Row],[Selected for Implementation]]="Yes",IF(NLTable[[#This Row],[No]]="","",NLTable[[#This Row],[Unique Name]]),"")</f>
        <v/>
      </c>
      <c r="BG9" s="617"/>
      <c r="BH9" s="647"/>
    </row>
    <row r="10" spans="1:60" ht="24.65" customHeight="1" x14ac:dyDescent="0.3">
      <c r="A10" s="479"/>
      <c r="B10" s="482"/>
      <c r="C10" s="322"/>
      <c r="D10" s="224">
        <f t="shared" ref="D10:J10" si="1">D8</f>
        <v>0</v>
      </c>
      <c r="E10" s="224">
        <f t="shared" si="1"/>
        <v>0</v>
      </c>
      <c r="F10" s="224" t="str">
        <f t="shared" si="1"/>
        <v/>
      </c>
      <c r="G10" s="224">
        <f t="shared" si="1"/>
        <v>0</v>
      </c>
      <c r="H10" s="224" t="str">
        <f t="shared" si="1"/>
        <v>Mech_-</v>
      </c>
      <c r="I10" s="224" t="str">
        <f t="shared" si="1"/>
        <v/>
      </c>
      <c r="J10" s="225" t="str">
        <f t="shared" si="1"/>
        <v/>
      </c>
      <c r="K10" s="316">
        <v>3</v>
      </c>
      <c r="L10" s="317" t="str">
        <f>IFERROR(INDEX(NLBaselineParam[#Data],MATCH(NLTable[[#This Row],[Index]],NLBaselineParam[Var],0),MATCH(NLTable[[#This Row],[CalcMethod]],NLBaselineParam[#Headers],0)),"")</f>
        <v/>
      </c>
      <c r="M10" s="529"/>
      <c r="N10" s="318" t="str">
        <f>IFERROR(INDEX(NLProposedParam[#Data],MATCH(NLTable[[#This Row],[Index]],NLProposedParam[Var],0),MATCH(NLTable[[#This Row],[CalcMethod]],NLProposedParam[#Headers],0)),"")</f>
        <v/>
      </c>
      <c r="O10" s="529"/>
      <c r="P10" s="319"/>
      <c r="Q10" s="319"/>
      <c r="R10" s="319"/>
      <c r="S10" s="319"/>
      <c r="T10" s="319"/>
      <c r="U10" s="319"/>
      <c r="V10" s="320"/>
      <c r="W10" s="320"/>
      <c r="X10" s="320"/>
      <c r="Y10" s="320"/>
      <c r="Z10" s="320"/>
      <c r="AA10" s="320"/>
      <c r="AB10" s="320"/>
      <c r="AC10" s="320"/>
      <c r="AD10" s="320"/>
      <c r="AE10" s="320"/>
      <c r="AF10" s="320"/>
      <c r="AG10" s="320"/>
      <c r="AH10" s="320"/>
      <c r="AI10" s="320"/>
      <c r="AJ10" s="320"/>
      <c r="AK10" s="320"/>
      <c r="AL10" s="320"/>
      <c r="AM10" s="320"/>
      <c r="AN10" s="224"/>
      <c r="AO10" s="224"/>
      <c r="AP10" s="224"/>
      <c r="AQ10" s="224"/>
      <c r="AR10" s="224"/>
      <c r="AS10" s="224"/>
      <c r="AT10" s="224"/>
      <c r="AU10" s="226"/>
      <c r="AV10" s="314">
        <f>IF(NLTable[[#This Row],[Selected for Implementation]]="Yes",1,0)</f>
        <v>0</v>
      </c>
      <c r="AW10" s="314">
        <f>NLTable[[#This Row],[Implement]]*NLTable[[#This Row],[Total Rebate]]</f>
        <v>0</v>
      </c>
      <c r="AX10" s="314">
        <f>NLTable[[#This Row],[Implement]]*NLTable[[#This Row],[Electric Savings, kWh/yr]]</f>
        <v>0</v>
      </c>
      <c r="AY10" s="314">
        <f>NLTable[[#This Row],[Implement]]*NLTable[[#This Row],[Peak Demand Savings, kW]]</f>
        <v>0</v>
      </c>
      <c r="AZ10" s="314">
        <f>NLTable[[#This Row],[Implement]]*NLTable[[#This Row],[Nat. Gas Savings, GJ/yr]]</f>
        <v>0</v>
      </c>
      <c r="BA10" s="314">
        <f>NLTable[[#This Row],[Implement]]*NLTable[[#This Row],[Est. Energy Cost Savings, $]]</f>
        <v>0</v>
      </c>
      <c r="BB10" s="314">
        <f>NLTable[[#This Row],[Implement]]*NLTable[[#This Row],[GHG Reduction, tCO2e/yr]]</f>
        <v>0</v>
      </c>
      <c r="BC10" s="314">
        <f>IFERROR(NLTable[[#This Row],[GHG Reduction]]*INDEX(NLIndexTable[Persistence],MATCH(NLTable[[#This Row],[Unique Name]],NLIndexTable[Unique Name],0)),0)</f>
        <v>0</v>
      </c>
      <c r="BD10" s="314">
        <f>NLTable[[#This Row],[Implement]]*NLTable[[#This Row],[Total Capital Cost, $]]</f>
        <v>0</v>
      </c>
      <c r="BE10" s="321" t="str">
        <f>""</f>
        <v/>
      </c>
      <c r="BF10" s="579" t="str">
        <f>IF(NLTable[[#This Row],[Selected for Implementation]]="Yes",IF(NLTable[[#This Row],[No]]="","",NLTable[[#This Row],[Unique Name]]),"")</f>
        <v/>
      </c>
      <c r="BG10" s="617"/>
      <c r="BH10" s="647"/>
    </row>
    <row r="11" spans="1:60" ht="24.65" customHeight="1" x14ac:dyDescent="0.3">
      <c r="A11" s="479"/>
      <c r="B11" s="482"/>
      <c r="C11" s="322"/>
      <c r="D11" s="224">
        <f t="shared" ref="D11:J11" si="2">D8</f>
        <v>0</v>
      </c>
      <c r="E11" s="224">
        <f t="shared" si="2"/>
        <v>0</v>
      </c>
      <c r="F11" s="224" t="str">
        <f t="shared" si="2"/>
        <v/>
      </c>
      <c r="G11" s="224">
        <f t="shared" si="2"/>
        <v>0</v>
      </c>
      <c r="H11" s="224" t="str">
        <f t="shared" si="2"/>
        <v>Mech_-</v>
      </c>
      <c r="I11" s="224" t="str">
        <f t="shared" si="2"/>
        <v/>
      </c>
      <c r="J11" s="225" t="str">
        <f t="shared" si="2"/>
        <v/>
      </c>
      <c r="K11" s="316">
        <v>4</v>
      </c>
      <c r="L11" s="317" t="str">
        <f>IFERROR(INDEX(NLBaselineParam[#Data],MATCH(NLTable[[#This Row],[Index]],NLBaselineParam[Var],0),MATCH(NLTable[[#This Row],[CalcMethod]],NLBaselineParam[#Headers],0)),"")</f>
        <v/>
      </c>
      <c r="M11" s="529"/>
      <c r="N11" s="318" t="str">
        <f>IFERROR(INDEX(NLProposedParam[#Data],MATCH(NLTable[[#This Row],[Index]],NLProposedParam[Var],0),MATCH(NLTable[[#This Row],[CalcMethod]],NLProposedParam[#Headers],0)),"")</f>
        <v/>
      </c>
      <c r="O11" s="529"/>
      <c r="P11" s="319"/>
      <c r="Q11" s="319"/>
      <c r="R11" s="319"/>
      <c r="S11" s="319"/>
      <c r="T11" s="319"/>
      <c r="U11" s="319"/>
      <c r="V11" s="320"/>
      <c r="W11" s="320"/>
      <c r="X11" s="320"/>
      <c r="Y11" s="320"/>
      <c r="Z11" s="320"/>
      <c r="AA11" s="320"/>
      <c r="AB11" s="320"/>
      <c r="AC11" s="320"/>
      <c r="AD11" s="320"/>
      <c r="AE11" s="320"/>
      <c r="AF11" s="320"/>
      <c r="AG11" s="320"/>
      <c r="AH11" s="320"/>
      <c r="AI11" s="320"/>
      <c r="AJ11" s="320"/>
      <c r="AK11" s="320"/>
      <c r="AL11" s="320"/>
      <c r="AM11" s="320"/>
      <c r="AN11" s="224"/>
      <c r="AO11" s="224"/>
      <c r="AP11" s="224"/>
      <c r="AQ11" s="224"/>
      <c r="AR11" s="224"/>
      <c r="AS11" s="224"/>
      <c r="AT11" s="224"/>
      <c r="AU11" s="226"/>
      <c r="AV11" s="314">
        <f>IF(NLTable[[#This Row],[Selected for Implementation]]="Yes",1,0)</f>
        <v>0</v>
      </c>
      <c r="AW11" s="314">
        <f>NLTable[[#This Row],[Implement]]*NLTable[[#This Row],[Total Rebate]]</f>
        <v>0</v>
      </c>
      <c r="AX11" s="314">
        <f>NLTable[[#This Row],[Implement]]*NLTable[[#This Row],[Electric Savings, kWh/yr]]</f>
        <v>0</v>
      </c>
      <c r="AY11" s="314">
        <f>NLTable[[#This Row],[Implement]]*NLTable[[#This Row],[Peak Demand Savings, kW]]</f>
        <v>0</v>
      </c>
      <c r="AZ11" s="314">
        <f>NLTable[[#This Row],[Implement]]*NLTable[[#This Row],[Nat. Gas Savings, GJ/yr]]</f>
        <v>0</v>
      </c>
      <c r="BA11" s="314">
        <f>NLTable[[#This Row],[Implement]]*NLTable[[#This Row],[Est. Energy Cost Savings, $]]</f>
        <v>0</v>
      </c>
      <c r="BB11" s="314">
        <f>NLTable[[#This Row],[Implement]]*NLTable[[#This Row],[GHG Reduction, tCO2e/yr]]</f>
        <v>0</v>
      </c>
      <c r="BC11" s="314">
        <f>IFERROR(NLTable[[#This Row],[GHG Reduction]]*INDEX(NLIndexTable[Persistence],MATCH(NLTable[[#This Row],[Unique Name]],NLIndexTable[Unique Name],0)),0)</f>
        <v>0</v>
      </c>
      <c r="BD11" s="314">
        <f>NLTable[[#This Row],[Implement]]*NLTable[[#This Row],[Total Capital Cost, $]]</f>
        <v>0</v>
      </c>
      <c r="BE11" s="321" t="str">
        <f>""</f>
        <v/>
      </c>
      <c r="BF11" s="579" t="str">
        <f>IF(NLTable[[#This Row],[Selected for Implementation]]="Yes",IF(NLTable[[#This Row],[No]]="","",NLTable[[#This Row],[Unique Name]]),"")</f>
        <v/>
      </c>
      <c r="BG11" s="617"/>
      <c r="BH11" s="647"/>
    </row>
    <row r="12" spans="1:60" s="230" customFormat="1" ht="24.65" customHeight="1" thickBot="1" x14ac:dyDescent="0.35">
      <c r="A12" s="479"/>
      <c r="B12" s="483"/>
      <c r="C12" s="323"/>
      <c r="D12" s="227">
        <f t="shared" ref="D12:J12" si="3">D8</f>
        <v>0</v>
      </c>
      <c r="E12" s="227">
        <f t="shared" si="3"/>
        <v>0</v>
      </c>
      <c r="F12" s="227" t="str">
        <f t="shared" si="3"/>
        <v/>
      </c>
      <c r="G12" s="227">
        <f t="shared" si="3"/>
        <v>0</v>
      </c>
      <c r="H12" s="227" t="str">
        <f t="shared" si="3"/>
        <v>Mech_-</v>
      </c>
      <c r="I12" s="227" t="str">
        <f t="shared" si="3"/>
        <v/>
      </c>
      <c r="J12" s="228" t="str">
        <f t="shared" si="3"/>
        <v/>
      </c>
      <c r="K12" s="324">
        <v>5</v>
      </c>
      <c r="L12" s="325" t="str">
        <f>IFERROR(INDEX(NLBaselineParam[#Data],MATCH(NLTable[[#This Row],[Index]],NLBaselineParam[Var],0),MATCH(NLTable[[#This Row],[CalcMethod]],NLBaselineParam[#Headers],0)),"")</f>
        <v/>
      </c>
      <c r="M12" s="530"/>
      <c r="N12" s="326" t="str">
        <f>IFERROR(INDEX(NLProposedParam[#Data],MATCH(NLTable[[#This Row],[Index]],NLProposedParam[Var],0),MATCH(NLTable[[#This Row],[CalcMethod]],NLProposedParam[#Headers],0)),"")</f>
        <v/>
      </c>
      <c r="O12" s="530"/>
      <c r="P12" s="327"/>
      <c r="Q12" s="327"/>
      <c r="R12" s="327"/>
      <c r="S12" s="327"/>
      <c r="T12" s="327"/>
      <c r="U12" s="327"/>
      <c r="V12" s="328"/>
      <c r="W12" s="328"/>
      <c r="X12" s="328"/>
      <c r="Y12" s="328"/>
      <c r="Z12" s="328"/>
      <c r="AA12" s="328"/>
      <c r="AB12" s="328"/>
      <c r="AC12" s="328"/>
      <c r="AD12" s="328"/>
      <c r="AE12" s="328"/>
      <c r="AF12" s="328"/>
      <c r="AG12" s="328"/>
      <c r="AH12" s="328"/>
      <c r="AI12" s="328"/>
      <c r="AJ12" s="328"/>
      <c r="AK12" s="328"/>
      <c r="AL12" s="328"/>
      <c r="AM12" s="328"/>
      <c r="AN12" s="227"/>
      <c r="AO12" s="227"/>
      <c r="AP12" s="227"/>
      <c r="AQ12" s="227"/>
      <c r="AR12" s="227"/>
      <c r="AS12" s="227"/>
      <c r="AT12" s="227"/>
      <c r="AU12" s="229"/>
      <c r="AV12" s="314">
        <f>IF(NLTable[[#This Row],[Selected for Implementation]]="Yes",1,0)</f>
        <v>0</v>
      </c>
      <c r="AW12" s="314">
        <f>NLTable[[#This Row],[Implement]]*NLTable[[#This Row],[Total Rebate]]</f>
        <v>0</v>
      </c>
      <c r="AX12" s="314">
        <f>NLTable[[#This Row],[Implement]]*NLTable[[#This Row],[Electric Savings, kWh/yr]]</f>
        <v>0</v>
      </c>
      <c r="AY12" s="314">
        <f>NLTable[[#This Row],[Implement]]*NLTable[[#This Row],[Peak Demand Savings, kW]]</f>
        <v>0</v>
      </c>
      <c r="AZ12" s="314">
        <f>NLTable[[#This Row],[Implement]]*NLTable[[#This Row],[Nat. Gas Savings, GJ/yr]]</f>
        <v>0</v>
      </c>
      <c r="BA12" s="314">
        <f>NLTable[[#This Row],[Implement]]*NLTable[[#This Row],[Est. Energy Cost Savings, $]]</f>
        <v>0</v>
      </c>
      <c r="BB12" s="314">
        <f>NLTable[[#This Row],[Implement]]*NLTable[[#This Row],[GHG Reduction, tCO2e/yr]]</f>
        <v>0</v>
      </c>
      <c r="BC12" s="314">
        <f>IFERROR(NLTable[[#This Row],[GHG Reduction]]*INDEX(NLIndexTable[Persistence],MATCH(NLTable[[#This Row],[Unique Name]],NLIndexTable[Unique Name],0)),0)</f>
        <v>0</v>
      </c>
      <c r="BD12" s="314">
        <f>NLTable[[#This Row],[Implement]]*NLTable[[#This Row],[Total Capital Cost, $]]</f>
        <v>0</v>
      </c>
      <c r="BE12" s="321" t="str">
        <f>""</f>
        <v/>
      </c>
      <c r="BF12" s="579" t="str">
        <f>IF(NLTable[[#This Row],[Selected for Implementation]]="Yes",IF(NLTable[[#This Row],[No]]="","",NLTable[[#This Row],[Unique Name]]),"")</f>
        <v/>
      </c>
      <c r="BG12" s="617"/>
      <c r="BH12" s="648"/>
    </row>
    <row r="13" spans="1:60" s="220" customFormat="1" ht="24.65" customHeight="1" x14ac:dyDescent="0.3">
      <c r="A13" s="479"/>
      <c r="B13" s="480" t="str">
        <f>IF(NLTable[[#This Row],[Baseline equipment energy source (or heating source for envelope measures)]]="","","NL-"&amp;(ROW(B13)-3)/5)</f>
        <v/>
      </c>
      <c r="C13" s="48"/>
      <c r="D13" s="48"/>
      <c r="E13" s="48"/>
      <c r="F13" s="303" t="str">
        <f>IF(ISBLANK(NLTable[[#This Row],[Baseline equipment energy source (or heating source for envelope measures)]]),"",IF(NLTable[[#This Row],[Baseline equipment energy source (or heating source for envelope measures)]]="Electricity", "EE", "LCE"))</f>
        <v/>
      </c>
      <c r="G13" s="49"/>
      <c r="H13" s="219" t="str">
        <f>"Mech_"&amp;NLTable[[#This Row],[Measure Type (Energy Efficiency or Low Carbon Electrification)]]&amp;"-"&amp;NLTable[[#This Row],[Energy Measure]]</f>
        <v>Mech_-</v>
      </c>
      <c r="I13" s="304" t="str">
        <f>IF(NLTable[[#This Row],[End-Use]]="","",INDEX(NLIndexTable[CalcMethod],MATCH(NLTable[[#This Row],[Energy Measure]],NLIndexTable[BCH Rerofit Technology],0)))</f>
        <v/>
      </c>
      <c r="J13" s="305" t="str">
        <f>IFERROR(INDEX(NLIndexTable[BC Hydro pu],MATCH(NLTable[[#This Row],[Unique Name]],NLIndexTable[Unique Name],0)),"")</f>
        <v/>
      </c>
      <c r="K13" s="306">
        <v>1</v>
      </c>
      <c r="L13" s="307" t="str">
        <f>IFERROR(INDEX(NLBaselineParam[#Data],MATCH(NLTable[[#This Row],[Index]],NLBaselineParam[Var],0),MATCH(NLTable[[#This Row],[CalcMethod]],NLBaselineParam[#Headers],0)),"")</f>
        <v/>
      </c>
      <c r="M13" s="528"/>
      <c r="N13" s="308" t="str">
        <f>IFERROR(INDEX(NLProposedParam[#Data],MATCH(NLTable[[#This Row],[Index]],NLProposedParam[Var],0),MATCH(NLTable[[#This Row],[CalcMethod]],NLProposedParam[#Headers],0)),"")</f>
        <v/>
      </c>
      <c r="O13" s="528"/>
      <c r="P13" s="309" t="str">
        <f>IF(NLTable[[#This Row],[CalcMethod]]="DHW",IF(NLTable[[#This Row],[Rebate Unit]]="per unit",M14*INDEX(NLIndexTable[BC Hydro Rebate],MATCH(NLTable[[#This Row],[Unique Name]],NLIndexTable[Unique Name],0)),M13*INDEX(NLIndexTable[BC Hydro Rebate],MATCH(NLTable[[#This Row],[Unique Name]],NLIndexTable[Unique Name],0))),"")</f>
        <v/>
      </c>
      <c r="Q13" s="309" t="str">
        <f>IF(NLTable[[#This Row],[CalcMethod]]="Windows",MIN(INDEX(NLIndexTable[BC Hydro Rebate],MATCH(NLTable[[#This Row],[Unique Name]],NLIndexTable[Unique Name],0))*O14,NLTable[[#This Row],[Retrofit Values]]*1200),IF(NLTable[[#This Row],[CalcMethod]]="Envelope",INDEX(NLIndexTable[BC Hydro Rebate],MATCH(NLTable[[#This Row],[Unique Name]],NLIndexTable[Unique Name],0))*O14,""))</f>
        <v/>
      </c>
      <c r="R13" s="309" t="str">
        <f>IF(NLTable[[#This Row],[End-Use]]="HVAC",IF(NLTable[[#This Row],[CalcMethod]]="HVAC-MUA",O14*INDEX(NLIndexTable[BC Hydro Rebate],MATCH(NLTable[[#This Row],[Unique Name]],NLIndexTable[Unique Name],0)),O13*INDEX(NLIndexTable[BC Hydro Rebate],MATCH(NLTable[[#This Row],[Unique Name]],NLIndexTable[Unique Name],0))),"")</f>
        <v/>
      </c>
      <c r="S13" s="309" t="str">
        <f>IF(NLTable[[#This Row],[Measure Type (Energy Efficiency or Low Carbon Electrification)]]="EE",IF(NLTable[[#This Row],[CalcMethod]]="Commercial Kitchen",O13*INDEX(NLIndexTable[BC Hydro Rebate],MATCH(NLTable[[#This Row],[Unique Name]],NLIndexTable[Unique Name],0)),""),"")</f>
        <v/>
      </c>
      <c r="T13" s="309" t="str">
        <f>IF(NLTable[[#This Row],[CalcMethod]]="Mechanical",IF(NLTable[[#This Row],[Rebate Unit]]="per unit",M14*INDEX(NLIndexTable[BC Hydro Rebate],MATCH(NLTable[[#This Row],[Unique Name]],NLIndexTable[Unique Name],0)),M14*M13*INDEX(NLIndexTable[BC Hydro Rebate],MATCH(NLTable[[#This Row],[Unique Name]],NLIndexTable[Unique Name],0))),"")</f>
        <v/>
      </c>
      <c r="U13" s="309" t="str">
        <f>IF(NLTable[[#This Row],[CalcMethod]]="Refrigeration",O13*INDEX(NLIndexTable[BC Hydro Rebate],MATCH(NLTable[[#This Row],[Unique Name]],NLIndexTable[Unique Name],0)),"")</f>
        <v/>
      </c>
      <c r="V13" s="310" t="str">
        <f>IF(NLTable[[#This Row],[CalcMethod]]="DHW",INDEX(NLIndexTable[Elec Savings kWh],MATCH(NLTable[[#This Row],[Unique Name]],NLIndexTable[Unique Name],0))*M13,"")</f>
        <v/>
      </c>
      <c r="W13" s="310" t="str">
        <f>IF(NLTable[[#This Row],[CalcMethod]]="DHW",INDEX(NLIndexTable[kW Savings],MATCH(NLTable[[#This Row],[Unique Name]],NLIndexTable[Unique Name],0))*M13,"")</f>
        <v/>
      </c>
      <c r="X13" s="310" t="str">
        <f>IF(NLTable[[#This Row],[CalcMethod]]="DHW",INDEX(NLIndexTable[Gas Savings kWh],MATCH(NLTable[[#This Row],[Unique Name]],NLIndexTable[Unique Name],0))*M13/277.78,"")</f>
        <v/>
      </c>
      <c r="Y13" s="310" t="str">
        <f>IF(NLTable[[#This Row],[CalcMethod]]="Envelope",INDEX(NLIndexTable[Elec Savings kWh],MATCH(NLTable[[#This Row],[Unique Name]],NLIndexTable[Unique Name],0))*M13/100,IF(NLTable[[#This Row],[CalcMethod]]="Windows",INDEX(NLIndexTable[Elec Savings kWh],MATCH(NLTable[[#This Row],[Unique Name]],NLIndexTable[Unique Name],0))*M13/100,""))</f>
        <v/>
      </c>
      <c r="Z13" s="310"/>
      <c r="AA13" s="310"/>
      <c r="AB13" s="310" t="str">
        <f>IF(OR(NLTable[[#This Row],[CalcMethod]]="HVAC-HP-Heads",NLTable[[#This Row],[CalcMethod]]="HVAC-HP-Suite",NLTable[[#This Row],[CalcMethod]]="HVAC-HP-Tons",NLTable[[#This Row],[CalcMethod]]="HVAC-PTHP",NLTable[[#This Row],[CalcMethod]]="HVAC-MUA"),INDEX(NLIndexTable[Elec Savings kWh],MATCH(NLTable[[#This Row],[Unique Name]],NLIndexTable[Unique Name],0))*M13*'Project Info'!$C$69*IF(NLTable[[#This Row],[CalcMethod]]="HVAC-MUA",1,MIN(O14*'Project Info'!$H$118/(NLTable[[#This Row],[Baseline Values]]*'Project Info'!$C$69*'Project Info'!$D$97*3.41/1000),1)),"")</f>
        <v/>
      </c>
      <c r="AC13" s="310" t="str">
        <f>IF(OR(NLTable[[#This Row],[CalcMethod]]="HVAC-HP-Heads",NLTable[[#This Row],[CalcMethod]]="HVAC-HP-Suite",NLTable[[#This Row],[CalcMethod]]="HVAC-HP-Tons",NLTable[[#This Row],[CalcMethod]]="HVAC-PTHP",NLTable[[#This Row],[CalcMethod]]="HVAC-MUA"),INDEX(NLIndexTable[kW Savings],MATCH(NLTable[[#This Row],[Unique Name]],NLIndexTable[Unique Name],0))*M13*'Project Info'!$C$69*IF(NLTable[[#This Row],[CalcMethod]]="HVAC-MUA",1,MIN(O14*'Project Info'!$H$118/(NLTable[[#This Row],[Baseline Values]]*'Project Info'!$C$69*'Project Info'!$D$97*3.41/1000),1)),"")</f>
        <v/>
      </c>
      <c r="AD13" s="310"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Name],0))*M13*'Project Info'!$C$69*IF(NLTable[[#This Row],[CalcMethod]]="HVAC-MUA",1,MIN(O14*'Project Info'!$H$118/(NLTable[[#This Row],[Baseline Values]]*'Project Info'!$C$69*'Project Info'!$D$97*3.41/1000),1))/277.78,"")</f>
        <v/>
      </c>
      <c r="AE13" s="310" t="str">
        <f>IF(NLTable[[#This Row],[CalcMethod]]="Commercial Kitchen",INDEX(NLIndexTable[Elec Savings kWh],MATCH(NLTable[[#This Row],[Unique Name]],NLIndexTable[Unique Name],0))*O13,"")</f>
        <v/>
      </c>
      <c r="AF13" s="310" t="str">
        <f>IF(NLTable[[#This Row],[CalcMethod]]="Commercial Kitchen",IF(NLTable[[#This Row],[Measure Type (Energy Efficiency or Low Carbon Electrification)]]="LCE",-1*O14*NLTable[[#This Row],[Retrofit Values]],NLTable[[#This Row],[Baseline Values]]*M14-NLTable[[#This Row],[Retrofit Values]]*O14),"")</f>
        <v/>
      </c>
      <c r="AG13" s="310" t="str">
        <f>IF(NLTable[[#This Row],[CalcMethod]]="Commercial Kitchen",INDEX(NLIndexTable[Gas Savings kWh],MATCH(NLTable[[#This Row],[Unique Name]],NLIndexTable[Unique Name],0))*O13,"")</f>
        <v/>
      </c>
      <c r="AH13" s="310" t="str">
        <f>IF(NLTable[[#This Row],[CalcMethod]]="Mechanical",IF(NLTable[[#This Row],[Unique Name]]="Mech_EE-Parkade CO - HVAC Controls",NLTable[[#This Row],[Baseline Values]]*0.7457*M14*(M15-O13),(NLTable[[#This Row],[Baseline Values]]*M14*0.7457*M15)-(NLTable[[#This Row],[Baseline Values]]*M14*0.7457*0.75^2.5*O13)),"")</f>
        <v/>
      </c>
      <c r="AI13" s="310"/>
      <c r="AJ13" s="310"/>
      <c r="AK13" s="310" t="str">
        <f>IF(OR(NLTable[[#This Row],[CalcMethod]]="Refrigeration",NLTable[[#This Row],[CalcMethod]]="Refrig-cases"),INDEX(NLIndexTable[Elec Savings kWh],MATCH(NLTable[[#This Row],[Unique Name]],NLIndexTable[Unique Name],0))*O13,"")</f>
        <v/>
      </c>
      <c r="AL13" s="310" t="str">
        <f>IF(NLTable[[#This Row],[CalcMethod]]="Refrigeration",NLTable[[#This Row],[Baseline Values]]*M14-NLTable[[#This Row],[Retrofit Values]]*O14,"")</f>
        <v/>
      </c>
      <c r="AM13" s="310"/>
      <c r="AN13" s="311">
        <f>MIN(SUM(NLTable[[#This Row],[DHW]:[Refrig]]),NLTable[[#This Row],[Total Capital Cost, $]])</f>
        <v>0</v>
      </c>
      <c r="AO13" s="312">
        <f>SUM(NLTable[[#This Row],[DHW-kWh]],NLTable[[#This Row],[Env-kWH]],NLTable[[#This Row],[HVAC-kWH]],NLTable[[#This Row],[CK-kWH]],NLTable[[#This Row],[Mech-kWh]],NLTable[[#This Row],[Refg-kWh]])</f>
        <v>0</v>
      </c>
      <c r="AP13" s="312">
        <f>SUM(NLTable[[#This Row],[DHW-kW]],NLTable[[#This Row],[Env-kW]],NLTable[[#This Row],[HVAC-kW]],NLTable[[#This Row],[CK-kW]],NLTable[[#This Row],[Mech-kW]],NLTable[[#This Row],[Refg-kW]])</f>
        <v>0</v>
      </c>
      <c r="AQ13" s="312">
        <f>SUM(NLTable[[#This Row],[DHW-GJ]],NLTable[[#This Row],[Env-GJ]],NLTable[[#This Row],[HVAC-GJ]],NLTable[[#This Row],[CK-GJ]],NLTable[[#This Row],[Mech-GJ]],NLTable[[#This Row],[Refg-GJ]])</f>
        <v>0</v>
      </c>
      <c r="AR13" s="311" t="e">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#N/A</v>
      </c>
      <c r="AS13" s="312">
        <f>NLTable[[#This Row],[Nat. Gas Savings, GJ/yr]]*50/1000</f>
        <v>0</v>
      </c>
      <c r="AT13" s="312" cm="1">
        <f t="array" ref="AT13">SUM(IF(N13:N17="Total Capital Cost ($)",O13:O17,0))</f>
        <v>0</v>
      </c>
      <c r="AU13" s="313" t="str">
        <f>IFERROR(IF((NLTable[[#This Row],[Total Capital Cost, $]]-NLTable[[#This Row],[Total Rebate]])/NLTable[[#This Row],[Est. Energy Cost Savings, $]]&gt;0,(NLTable[[#This Row],[Total Capital Cost, $]]-NLTable[[#This Row],[Total Rebate]])/NLTable[[#This Row],[Est. Energy Cost Savings, $]],"No Payback"),"")</f>
        <v/>
      </c>
      <c r="AV13" s="314">
        <f>IF(NLTable[[#This Row],[Selected for Implementation]]="Yes",1,0)</f>
        <v>0</v>
      </c>
      <c r="AW13" s="314">
        <f>NLTable[[#This Row],[Implement]]*NLTable[[#This Row],[Total Rebate]]</f>
        <v>0</v>
      </c>
      <c r="AX13" s="314">
        <f>NLTable[[#This Row],[Implement]]*NLTable[[#This Row],[Electric Savings, kWh/yr]]</f>
        <v>0</v>
      </c>
      <c r="AY13" s="314">
        <f>NLTable[[#This Row],[Implement]]*NLTable[[#This Row],[Peak Demand Savings, kW]]</f>
        <v>0</v>
      </c>
      <c r="AZ13" s="314">
        <f>NLTable[[#This Row],[Implement]]*NLTable[[#This Row],[Nat. Gas Savings, GJ/yr]]</f>
        <v>0</v>
      </c>
      <c r="BA13" s="314" t="e">
        <f>NLTable[[#This Row],[Implement]]*NLTable[[#This Row],[Est. Energy Cost Savings, $]]</f>
        <v>#N/A</v>
      </c>
      <c r="BB13" s="314">
        <f>NLTable[[#This Row],[Implement]]*NLTable[[#This Row],[GHG Reduction, tCO2e/yr]]</f>
        <v>0</v>
      </c>
      <c r="BC13" s="314">
        <f>IFERROR(NLTable[[#This Row],[GHG Reduction]]*INDEX(NLIndexTable[Persistence],MATCH(NLTable[[#This Row],[Unique Name]],NLIndexTable[Unique Name],0)),0)</f>
        <v>0</v>
      </c>
      <c r="BD13" s="314">
        <f>NLTable[[#This Row],[Implement]]*NLTable[[#This Row],[Total Capital Cost, $]]</f>
        <v>0</v>
      </c>
      <c r="BE13" s="314" t="str">
        <f>IFERROR(INDEX(NLIndexTable[Equivalent xRM ECM],MATCH(NLTable[[#This Row],[Concatenate]],NLIndexTable[Unique Name],0)),"")</f>
        <v/>
      </c>
      <c r="BF13" s="314" t="str">
        <f>IF(NLTable[[#This Row],[Selected for Implementation]]="Yes",IF(NLTable[[#This Row],[No]]="","",NLTable[[#This Row],[Unique Name]]),"")</f>
        <v/>
      </c>
      <c r="BG13" s="617" cm="1">
        <f t="array" ref="BG13">IFERROR(IF(NLTable[[#This Row],[Implement]],SUM(IF(N13:N17="Total Area of Glazing Installed (ft2)",O13:O17,0)),0),0)</f>
        <v>0</v>
      </c>
      <c r="BH13" s="646"/>
    </row>
    <row r="14" spans="1:60" ht="24.65" customHeight="1" x14ac:dyDescent="0.3">
      <c r="A14" s="479"/>
      <c r="B14" s="481"/>
      <c r="C14" s="315"/>
      <c r="D14" s="221">
        <f t="shared" ref="D14:J14" si="4">D13</f>
        <v>0</v>
      </c>
      <c r="E14" s="221">
        <f t="shared" si="4"/>
        <v>0</v>
      </c>
      <c r="F14" s="221" t="str">
        <f t="shared" si="4"/>
        <v/>
      </c>
      <c r="G14" s="221">
        <f t="shared" si="4"/>
        <v>0</v>
      </c>
      <c r="H14" s="221" t="str">
        <f t="shared" si="4"/>
        <v>Mech_-</v>
      </c>
      <c r="I14" s="221" t="str">
        <f t="shared" si="4"/>
        <v/>
      </c>
      <c r="J14" s="222" t="str">
        <f t="shared" si="4"/>
        <v/>
      </c>
      <c r="K14" s="316">
        <v>2</v>
      </c>
      <c r="L14" s="317" t="str">
        <f>IFERROR(INDEX(NLBaselineParam[#Data],MATCH(NLTable[[#This Row],[Index]],NLBaselineParam[Var],0),MATCH(NLTable[[#This Row],[CalcMethod]],NLBaselineParam[#Headers],0)),"")</f>
        <v/>
      </c>
      <c r="M14" s="529"/>
      <c r="N14" s="318" t="str">
        <f>IFERROR(INDEX(NLProposedParam[#Data],MATCH(NLTable[[#This Row],[Index]],NLProposedParam[Var],0),MATCH(NLTable[[#This Row],[CalcMethod]],NLProposedParam[#Headers],0)),"")</f>
        <v/>
      </c>
      <c r="O14" s="529"/>
      <c r="P14" s="319"/>
      <c r="Q14" s="319"/>
      <c r="R14" s="319"/>
      <c r="S14" s="319"/>
      <c r="T14" s="319"/>
      <c r="U14" s="319"/>
      <c r="V14" s="320"/>
      <c r="W14" s="320"/>
      <c r="X14" s="320"/>
      <c r="Y14" s="320"/>
      <c r="Z14" s="320"/>
      <c r="AA14" s="320"/>
      <c r="AB14" s="320"/>
      <c r="AC14" s="320"/>
      <c r="AD14" s="320"/>
      <c r="AE14" s="320"/>
      <c r="AF14" s="320"/>
      <c r="AG14" s="320"/>
      <c r="AH14" s="320"/>
      <c r="AI14" s="320"/>
      <c r="AJ14" s="320"/>
      <c r="AK14" s="320"/>
      <c r="AL14" s="320"/>
      <c r="AM14" s="320"/>
      <c r="AN14" s="221"/>
      <c r="AO14" s="221"/>
      <c r="AP14" s="221"/>
      <c r="AQ14" s="221"/>
      <c r="AR14" s="221"/>
      <c r="AS14" s="221"/>
      <c r="AT14" s="221"/>
      <c r="AU14" s="223"/>
      <c r="AV14" s="314">
        <f>IF(NLTable[[#This Row],[Selected for Implementation]]="Yes",1,0)</f>
        <v>0</v>
      </c>
      <c r="AW14" s="314">
        <f>NLTable[[#This Row],[Implement]]*NLTable[[#This Row],[Total Rebate]]</f>
        <v>0</v>
      </c>
      <c r="AX14" s="314">
        <f>NLTable[[#This Row],[Implement]]*NLTable[[#This Row],[Electric Savings, kWh/yr]]</f>
        <v>0</v>
      </c>
      <c r="AY14" s="314">
        <f>NLTable[[#This Row],[Implement]]*NLTable[[#This Row],[Peak Demand Savings, kW]]</f>
        <v>0</v>
      </c>
      <c r="AZ14" s="314">
        <f>NLTable[[#This Row],[Implement]]*NLTable[[#This Row],[Nat. Gas Savings, GJ/yr]]</f>
        <v>0</v>
      </c>
      <c r="BA14" s="314">
        <f>NLTable[[#This Row],[Implement]]*NLTable[[#This Row],[Est. Energy Cost Savings, $]]</f>
        <v>0</v>
      </c>
      <c r="BB14" s="314">
        <f>NLTable[[#This Row],[Implement]]*NLTable[[#This Row],[GHG Reduction, tCO2e/yr]]</f>
        <v>0</v>
      </c>
      <c r="BC14" s="314">
        <f>IFERROR(NLTable[[#This Row],[GHG Reduction]]*INDEX(NLIndexTable[Persistence],MATCH(NLTable[[#This Row],[Unique Name]],NLIndexTable[Unique Name],0)),0)</f>
        <v>0</v>
      </c>
      <c r="BD14" s="314">
        <f>NLTable[[#This Row],[Implement]]*NLTable[[#This Row],[Total Capital Cost, $]]</f>
        <v>0</v>
      </c>
      <c r="BE14" s="321" t="str">
        <f>""</f>
        <v/>
      </c>
      <c r="BF14" s="314" t="str">
        <f>IF(NLTable[[#This Row],[Selected for Implementation]]="Yes",IF(NLTable[[#This Row],[No]]="","",NLTable[[#This Row],[Unique Name]]),"")</f>
        <v/>
      </c>
      <c r="BG14" s="617"/>
      <c r="BH14" s="647"/>
    </row>
    <row r="15" spans="1:60" ht="24.65" customHeight="1" x14ac:dyDescent="0.3">
      <c r="A15" s="479"/>
      <c r="B15" s="482"/>
      <c r="C15" s="322"/>
      <c r="D15" s="224">
        <f t="shared" ref="D15:J15" si="5">D13</f>
        <v>0</v>
      </c>
      <c r="E15" s="224">
        <f t="shared" si="5"/>
        <v>0</v>
      </c>
      <c r="F15" s="224" t="str">
        <f t="shared" si="5"/>
        <v/>
      </c>
      <c r="G15" s="224">
        <f t="shared" si="5"/>
        <v>0</v>
      </c>
      <c r="H15" s="224" t="str">
        <f t="shared" si="5"/>
        <v>Mech_-</v>
      </c>
      <c r="I15" s="224" t="str">
        <f t="shared" si="5"/>
        <v/>
      </c>
      <c r="J15" s="225" t="str">
        <f t="shared" si="5"/>
        <v/>
      </c>
      <c r="K15" s="316">
        <v>3</v>
      </c>
      <c r="L15" s="317" t="str">
        <f>IFERROR(INDEX(NLBaselineParam[#Data],MATCH(NLTable[[#This Row],[Index]],NLBaselineParam[Var],0),MATCH(NLTable[[#This Row],[CalcMethod]],NLBaselineParam[#Headers],0)),"")</f>
        <v/>
      </c>
      <c r="M15" s="529"/>
      <c r="N15" s="318" t="str">
        <f>IFERROR(INDEX(NLProposedParam[#Data],MATCH(NLTable[[#This Row],[Index]],NLProposedParam[Var],0),MATCH(NLTable[[#This Row],[CalcMethod]],NLProposedParam[#Headers],0)),"")</f>
        <v/>
      </c>
      <c r="O15" s="529"/>
      <c r="P15" s="319"/>
      <c r="Q15" s="319"/>
      <c r="R15" s="319"/>
      <c r="S15" s="319"/>
      <c r="T15" s="319"/>
      <c r="U15" s="319"/>
      <c r="V15" s="320"/>
      <c r="W15" s="320"/>
      <c r="X15" s="320"/>
      <c r="Y15" s="320"/>
      <c r="Z15" s="320"/>
      <c r="AA15" s="320"/>
      <c r="AB15" s="320"/>
      <c r="AC15" s="320"/>
      <c r="AD15" s="320"/>
      <c r="AE15" s="320"/>
      <c r="AF15" s="320"/>
      <c r="AG15" s="320"/>
      <c r="AH15" s="320"/>
      <c r="AI15" s="320"/>
      <c r="AJ15" s="320"/>
      <c r="AK15" s="320"/>
      <c r="AL15" s="320"/>
      <c r="AM15" s="320"/>
      <c r="AN15" s="224"/>
      <c r="AO15" s="224"/>
      <c r="AP15" s="224"/>
      <c r="AQ15" s="224"/>
      <c r="AR15" s="224"/>
      <c r="AS15" s="224"/>
      <c r="AT15" s="224"/>
      <c r="AU15" s="226"/>
      <c r="AV15" s="314">
        <f>IF(NLTable[[#This Row],[Selected for Implementation]]="Yes",1,0)</f>
        <v>0</v>
      </c>
      <c r="AW15" s="314">
        <f>NLTable[[#This Row],[Implement]]*NLTable[[#This Row],[Total Rebate]]</f>
        <v>0</v>
      </c>
      <c r="AX15" s="314">
        <f>NLTable[[#This Row],[Implement]]*NLTable[[#This Row],[Electric Savings, kWh/yr]]</f>
        <v>0</v>
      </c>
      <c r="AY15" s="314">
        <f>NLTable[[#This Row],[Implement]]*NLTable[[#This Row],[Peak Demand Savings, kW]]</f>
        <v>0</v>
      </c>
      <c r="AZ15" s="314">
        <f>NLTable[[#This Row],[Implement]]*NLTable[[#This Row],[Nat. Gas Savings, GJ/yr]]</f>
        <v>0</v>
      </c>
      <c r="BA15" s="314">
        <f>NLTable[[#This Row],[Implement]]*NLTable[[#This Row],[Est. Energy Cost Savings, $]]</f>
        <v>0</v>
      </c>
      <c r="BB15" s="314">
        <f>NLTable[[#This Row],[Implement]]*NLTable[[#This Row],[GHG Reduction, tCO2e/yr]]</f>
        <v>0</v>
      </c>
      <c r="BC15" s="314">
        <f>IFERROR(NLTable[[#This Row],[GHG Reduction]]*INDEX(NLIndexTable[Persistence],MATCH(NLTable[[#This Row],[Unique Name]],NLIndexTable[Unique Name],0)),0)</f>
        <v>0</v>
      </c>
      <c r="BD15" s="314">
        <f>NLTable[[#This Row],[Implement]]*NLTable[[#This Row],[Total Capital Cost, $]]</f>
        <v>0</v>
      </c>
      <c r="BE15" s="321" t="str">
        <f>""</f>
        <v/>
      </c>
      <c r="BF15" s="314" t="str">
        <f>IF(NLTable[[#This Row],[Selected for Implementation]]="Yes",IF(NLTable[[#This Row],[No]]="","",NLTable[[#This Row],[Unique Name]]),"")</f>
        <v/>
      </c>
      <c r="BG15" s="617"/>
      <c r="BH15" s="647"/>
    </row>
    <row r="16" spans="1:60" ht="24.65" customHeight="1" x14ac:dyDescent="0.3">
      <c r="A16" s="479"/>
      <c r="B16" s="482"/>
      <c r="C16" s="322"/>
      <c r="D16" s="224">
        <f t="shared" ref="D16:J16" si="6">D13</f>
        <v>0</v>
      </c>
      <c r="E16" s="224">
        <f t="shared" si="6"/>
        <v>0</v>
      </c>
      <c r="F16" s="224" t="str">
        <f t="shared" si="6"/>
        <v/>
      </c>
      <c r="G16" s="224">
        <f t="shared" si="6"/>
        <v>0</v>
      </c>
      <c r="H16" s="224" t="str">
        <f t="shared" si="6"/>
        <v>Mech_-</v>
      </c>
      <c r="I16" s="224" t="str">
        <f t="shared" si="6"/>
        <v/>
      </c>
      <c r="J16" s="225" t="str">
        <f t="shared" si="6"/>
        <v/>
      </c>
      <c r="K16" s="316">
        <v>4</v>
      </c>
      <c r="L16" s="317" t="str">
        <f>IFERROR(INDEX(NLBaselineParam[#Data],MATCH(NLTable[[#This Row],[Index]],NLBaselineParam[Var],0),MATCH(NLTable[[#This Row],[CalcMethod]],NLBaselineParam[#Headers],0)),"")</f>
        <v/>
      </c>
      <c r="M16" s="529"/>
      <c r="N16" s="318" t="str">
        <f>IFERROR(INDEX(NLProposedParam[#Data],MATCH(NLTable[[#This Row],[Index]],NLProposedParam[Var],0),MATCH(NLTable[[#This Row],[CalcMethod]],NLProposedParam[#Headers],0)),"")</f>
        <v/>
      </c>
      <c r="O16" s="529"/>
      <c r="P16" s="319"/>
      <c r="Q16" s="319"/>
      <c r="R16" s="319"/>
      <c r="S16" s="319"/>
      <c r="T16" s="319"/>
      <c r="U16" s="319"/>
      <c r="V16" s="320"/>
      <c r="W16" s="320"/>
      <c r="X16" s="320"/>
      <c r="Y16" s="320"/>
      <c r="Z16" s="320"/>
      <c r="AA16" s="320"/>
      <c r="AB16" s="320"/>
      <c r="AC16" s="320"/>
      <c r="AD16" s="320"/>
      <c r="AE16" s="320"/>
      <c r="AF16" s="320"/>
      <c r="AG16" s="320"/>
      <c r="AH16" s="320"/>
      <c r="AI16" s="320"/>
      <c r="AJ16" s="320"/>
      <c r="AK16" s="320"/>
      <c r="AL16" s="320"/>
      <c r="AM16" s="320"/>
      <c r="AN16" s="224"/>
      <c r="AO16" s="224"/>
      <c r="AP16" s="224"/>
      <c r="AQ16" s="224"/>
      <c r="AR16" s="224"/>
      <c r="AS16" s="224"/>
      <c r="AT16" s="224"/>
      <c r="AU16" s="226"/>
      <c r="AV16" s="314">
        <f>IF(NLTable[[#This Row],[Selected for Implementation]]="Yes",1,0)</f>
        <v>0</v>
      </c>
      <c r="AW16" s="314">
        <f>NLTable[[#This Row],[Implement]]*NLTable[[#This Row],[Total Rebate]]</f>
        <v>0</v>
      </c>
      <c r="AX16" s="314">
        <f>NLTable[[#This Row],[Implement]]*NLTable[[#This Row],[Electric Savings, kWh/yr]]</f>
        <v>0</v>
      </c>
      <c r="AY16" s="314">
        <f>NLTable[[#This Row],[Implement]]*NLTable[[#This Row],[Peak Demand Savings, kW]]</f>
        <v>0</v>
      </c>
      <c r="AZ16" s="314">
        <f>NLTable[[#This Row],[Implement]]*NLTable[[#This Row],[Nat. Gas Savings, GJ/yr]]</f>
        <v>0</v>
      </c>
      <c r="BA16" s="314">
        <f>NLTable[[#This Row],[Implement]]*NLTable[[#This Row],[Est. Energy Cost Savings, $]]</f>
        <v>0</v>
      </c>
      <c r="BB16" s="314">
        <f>NLTable[[#This Row],[Implement]]*NLTable[[#This Row],[GHG Reduction, tCO2e/yr]]</f>
        <v>0</v>
      </c>
      <c r="BC16" s="314">
        <f>IFERROR(NLTable[[#This Row],[GHG Reduction]]*INDEX(NLIndexTable[Persistence],MATCH(NLTable[[#This Row],[Unique Name]],NLIndexTable[Unique Name],0)),0)</f>
        <v>0</v>
      </c>
      <c r="BD16" s="314">
        <f>NLTable[[#This Row],[Implement]]*NLTable[[#This Row],[Total Capital Cost, $]]</f>
        <v>0</v>
      </c>
      <c r="BE16" s="321" t="str">
        <f>""</f>
        <v/>
      </c>
      <c r="BF16" s="314" t="str">
        <f>IF(NLTable[[#This Row],[Selected for Implementation]]="Yes",IF(NLTable[[#This Row],[No]]="","",NLTable[[#This Row],[Unique Name]]),"")</f>
        <v/>
      </c>
      <c r="BG16" s="617"/>
      <c r="BH16" s="647"/>
    </row>
    <row r="17" spans="1:60" s="230" customFormat="1" ht="24.65" customHeight="1" thickBot="1" x14ac:dyDescent="0.35">
      <c r="A17" s="479"/>
      <c r="B17" s="483"/>
      <c r="C17" s="323"/>
      <c r="D17" s="227">
        <f t="shared" ref="D17:J17" si="7">D13</f>
        <v>0</v>
      </c>
      <c r="E17" s="227">
        <f t="shared" si="7"/>
        <v>0</v>
      </c>
      <c r="F17" s="227" t="str">
        <f t="shared" si="7"/>
        <v/>
      </c>
      <c r="G17" s="227">
        <f t="shared" si="7"/>
        <v>0</v>
      </c>
      <c r="H17" s="227" t="str">
        <f t="shared" si="7"/>
        <v>Mech_-</v>
      </c>
      <c r="I17" s="227" t="str">
        <f t="shared" si="7"/>
        <v/>
      </c>
      <c r="J17" s="228" t="str">
        <f t="shared" si="7"/>
        <v/>
      </c>
      <c r="K17" s="324">
        <v>5</v>
      </c>
      <c r="L17" s="325" t="str">
        <f>IFERROR(INDEX(NLBaselineParam[#Data],MATCH(NLTable[[#This Row],[Index]],NLBaselineParam[Var],0),MATCH(NLTable[[#This Row],[CalcMethod]],NLBaselineParam[#Headers],0)),"")</f>
        <v/>
      </c>
      <c r="M17" s="530"/>
      <c r="N17" s="326" t="str">
        <f>IFERROR(INDEX(NLProposedParam[#Data],MATCH(NLTable[[#This Row],[Index]],NLProposedParam[Var],0),MATCH(NLTable[[#This Row],[CalcMethod]],NLProposedParam[#Headers],0)),"")</f>
        <v/>
      </c>
      <c r="O17" s="530"/>
      <c r="P17" s="327"/>
      <c r="Q17" s="327"/>
      <c r="R17" s="327"/>
      <c r="S17" s="327"/>
      <c r="T17" s="327"/>
      <c r="U17" s="327"/>
      <c r="V17" s="328"/>
      <c r="W17" s="328"/>
      <c r="X17" s="328"/>
      <c r="Y17" s="328"/>
      <c r="Z17" s="328"/>
      <c r="AA17" s="328"/>
      <c r="AB17" s="328"/>
      <c r="AC17" s="328"/>
      <c r="AD17" s="328"/>
      <c r="AE17" s="328"/>
      <c r="AF17" s="328"/>
      <c r="AG17" s="328"/>
      <c r="AH17" s="328"/>
      <c r="AI17" s="328"/>
      <c r="AJ17" s="328"/>
      <c r="AK17" s="328"/>
      <c r="AL17" s="328"/>
      <c r="AM17" s="328"/>
      <c r="AN17" s="227"/>
      <c r="AO17" s="227"/>
      <c r="AP17" s="227"/>
      <c r="AQ17" s="227"/>
      <c r="AR17" s="227"/>
      <c r="AS17" s="227"/>
      <c r="AT17" s="227"/>
      <c r="AU17" s="229"/>
      <c r="AV17" s="314">
        <f>IF(NLTable[[#This Row],[Selected for Implementation]]="Yes",1,0)</f>
        <v>0</v>
      </c>
      <c r="AW17" s="314">
        <f>NLTable[[#This Row],[Implement]]*NLTable[[#This Row],[Total Rebate]]</f>
        <v>0</v>
      </c>
      <c r="AX17" s="314">
        <f>NLTable[[#This Row],[Implement]]*NLTable[[#This Row],[Electric Savings, kWh/yr]]</f>
        <v>0</v>
      </c>
      <c r="AY17" s="314">
        <f>NLTable[[#This Row],[Implement]]*NLTable[[#This Row],[Peak Demand Savings, kW]]</f>
        <v>0</v>
      </c>
      <c r="AZ17" s="314">
        <f>NLTable[[#This Row],[Implement]]*NLTable[[#This Row],[Nat. Gas Savings, GJ/yr]]</f>
        <v>0</v>
      </c>
      <c r="BA17" s="314">
        <f>NLTable[[#This Row],[Implement]]*NLTable[[#This Row],[Est. Energy Cost Savings, $]]</f>
        <v>0</v>
      </c>
      <c r="BB17" s="314">
        <f>NLTable[[#This Row],[Implement]]*NLTable[[#This Row],[GHG Reduction, tCO2e/yr]]</f>
        <v>0</v>
      </c>
      <c r="BC17" s="314">
        <f>IFERROR(NLTable[[#This Row],[GHG Reduction]]*INDEX(NLIndexTable[Persistence],MATCH(NLTable[[#This Row],[Unique Name]],NLIndexTable[Unique Name],0)),0)</f>
        <v>0</v>
      </c>
      <c r="BD17" s="314">
        <f>NLTable[[#This Row],[Implement]]*NLTable[[#This Row],[Total Capital Cost, $]]</f>
        <v>0</v>
      </c>
      <c r="BE17" s="321" t="str">
        <f>""</f>
        <v/>
      </c>
      <c r="BF17" s="314" t="str">
        <f>IF(NLTable[[#This Row],[Selected for Implementation]]="Yes",IF(NLTable[[#This Row],[No]]="","",NLTable[[#This Row],[Unique Name]]),"")</f>
        <v/>
      </c>
      <c r="BG17" s="617"/>
      <c r="BH17" s="648"/>
    </row>
    <row r="18" spans="1:60" s="220" customFormat="1" ht="24.65" customHeight="1" x14ac:dyDescent="0.3">
      <c r="A18" s="479"/>
      <c r="B18" s="480" t="str">
        <f>IF(NLTable[[#This Row],[Baseline equipment energy source (or heating source for envelope measures)]]="","","NL-"&amp;(ROW(B18)-3)/5)</f>
        <v/>
      </c>
      <c r="C18" s="48"/>
      <c r="D18" s="48"/>
      <c r="E18" s="48"/>
      <c r="F18" s="303" t="str">
        <f>IF(ISBLANK(NLTable[[#This Row],[Baseline equipment energy source (or heating source for envelope measures)]]),"",IF(NLTable[[#This Row],[Baseline equipment energy source (or heating source for envelope measures)]]="Electricity", "EE", "LCE"))</f>
        <v/>
      </c>
      <c r="G18" s="49"/>
      <c r="H18" s="219" t="str">
        <f>"Mech_"&amp;NLTable[[#This Row],[Measure Type (Energy Efficiency or Low Carbon Electrification)]]&amp;"-"&amp;NLTable[[#This Row],[Energy Measure]]</f>
        <v>Mech_-</v>
      </c>
      <c r="I18" s="304" t="str">
        <f>IF(NLTable[[#This Row],[End-Use]]="","",INDEX(NLIndexTable[CalcMethod],MATCH(NLTable[[#This Row],[Energy Measure]],NLIndexTable[BCH Rerofit Technology],0)))</f>
        <v/>
      </c>
      <c r="J18" s="305" t="str">
        <f>IFERROR(INDEX(NLIndexTable[BC Hydro pu],MATCH(NLTable[[#This Row],[Unique Name]],NLIndexTable[Unique Name],0)),"")</f>
        <v/>
      </c>
      <c r="K18" s="306">
        <v>1</v>
      </c>
      <c r="L18" s="307" t="str">
        <f>IFERROR(INDEX(NLBaselineParam[#Data],MATCH(NLTable[[#This Row],[Index]],NLBaselineParam[Var],0),MATCH(NLTable[[#This Row],[CalcMethod]],NLBaselineParam[#Headers],0)),"")</f>
        <v/>
      </c>
      <c r="M18" s="528"/>
      <c r="N18" s="308" t="str">
        <f>IFERROR(INDEX(NLProposedParam[#Data],MATCH(NLTable[[#This Row],[Index]],NLProposedParam[Var],0),MATCH(NLTable[[#This Row],[CalcMethod]],NLProposedParam[#Headers],0)),"")</f>
        <v/>
      </c>
      <c r="O18" s="528"/>
      <c r="P18" s="309" t="str">
        <f>IF(NLTable[[#This Row],[CalcMethod]]="DHW",IF(NLTable[[#This Row],[Rebate Unit]]="per unit",M19*INDEX(NLIndexTable[BC Hydro Rebate],MATCH(NLTable[[#This Row],[Unique Name]],NLIndexTable[Unique Name],0)),M18*INDEX(NLIndexTable[BC Hydro Rebate],MATCH(NLTable[[#This Row],[Unique Name]],NLIndexTable[Unique Name],0))),"")</f>
        <v/>
      </c>
      <c r="Q18" s="309" t="str">
        <f>IF(NLTable[[#This Row],[CalcMethod]]="Windows",MIN(INDEX(NLIndexTable[BC Hydro Rebate],MATCH(NLTable[[#This Row],[Unique Name]],NLIndexTable[Unique Name],0))*O19,NLTable[[#This Row],[Retrofit Values]]*1200),IF(NLTable[[#This Row],[CalcMethod]]="Envelope",INDEX(NLIndexTable[BC Hydro Rebate],MATCH(NLTable[[#This Row],[Unique Name]],NLIndexTable[Unique Name],0))*O19,""))</f>
        <v/>
      </c>
      <c r="R18" s="309" t="str">
        <f>IF(NLTable[[#This Row],[End-Use]]="HVAC",IF(NLTable[[#This Row],[CalcMethod]]="HVAC-MUA",O19*INDEX(NLIndexTable[BC Hydro Rebate],MATCH(NLTable[[#This Row],[Unique Name]],NLIndexTable[Unique Name],0)),O18*INDEX(NLIndexTable[BC Hydro Rebate],MATCH(NLTable[[#This Row],[Unique Name]],NLIndexTable[Unique Name],0))),"")</f>
        <v/>
      </c>
      <c r="S18" s="309" t="str">
        <f>IF(NLTable[[#This Row],[Measure Type (Energy Efficiency or Low Carbon Electrification)]]="EE",IF(NLTable[[#This Row],[CalcMethod]]="Commercial Kitchen",O18*INDEX(NLIndexTable[BC Hydro Rebate],MATCH(NLTable[[#This Row],[Unique Name]],NLIndexTable[Unique Name],0)),""),"")</f>
        <v/>
      </c>
      <c r="T18" s="309" t="str">
        <f>IF(NLTable[[#This Row],[CalcMethod]]="Mechanical",IF(NLTable[[#This Row],[Rebate Unit]]="per unit",M19*INDEX(NLIndexTable[BC Hydro Rebate],MATCH(NLTable[[#This Row],[Unique Name]],NLIndexTable[Unique Name],0)),M19*M18*INDEX(NLIndexTable[BC Hydro Rebate],MATCH(NLTable[[#This Row],[Unique Name]],NLIndexTable[Unique Name],0))),"")</f>
        <v/>
      </c>
      <c r="U18" s="309" t="str">
        <f>IF(NLTable[[#This Row],[CalcMethod]]="Refrigeration",O18*INDEX(NLIndexTable[BC Hydro Rebate],MATCH(NLTable[[#This Row],[Unique Name]],NLIndexTable[Unique Name],0)),"")</f>
        <v/>
      </c>
      <c r="V18" s="310" t="str">
        <f>IF(NLTable[[#This Row],[CalcMethod]]="DHW",INDEX(NLIndexTable[Elec Savings kWh],MATCH(NLTable[[#This Row],[Unique Name]],NLIndexTable[Unique Name],0))*M18,"")</f>
        <v/>
      </c>
      <c r="W18" s="310" t="str">
        <f>IF(NLTable[[#This Row],[CalcMethod]]="DHW",INDEX(NLIndexTable[kW Savings],MATCH(NLTable[[#This Row],[Unique Name]],NLIndexTable[Unique Name],0))*M18,"")</f>
        <v/>
      </c>
      <c r="X18" s="310" t="str">
        <f>IF(NLTable[[#This Row],[CalcMethod]]="DHW",INDEX(NLIndexTable[Gas Savings kWh],MATCH(NLTable[[#This Row],[Unique Name]],NLIndexTable[Unique Name],0))*M18/277.78,"")</f>
        <v/>
      </c>
      <c r="Y18" s="310" t="str">
        <f>IF(NLTable[[#This Row],[CalcMethod]]="Envelope",INDEX(NLIndexTable[Elec Savings kWh],MATCH(NLTable[[#This Row],[Unique Name]],NLIndexTable[Unique Name],0))*M18/100,IF(NLTable[[#This Row],[CalcMethod]]="Windows",INDEX(NLIndexTable[Elec Savings kWh],MATCH(NLTable[[#This Row],[Unique Name]],NLIndexTable[Unique Name],0))*M18/100,""))</f>
        <v/>
      </c>
      <c r="Z18" s="310"/>
      <c r="AA18" s="310"/>
      <c r="AB18" s="310" t="str">
        <f>IF(OR(NLTable[[#This Row],[CalcMethod]]="HVAC-HP-Heads",NLTable[[#This Row],[CalcMethod]]="HVAC-HP-Suite",NLTable[[#This Row],[CalcMethod]]="HVAC-HP-Tons",NLTable[[#This Row],[CalcMethod]]="HVAC-PTHP",NLTable[[#This Row],[CalcMethod]]="HVAC-MUA"),INDEX(NLIndexTable[Elec Savings kWh],MATCH(NLTable[[#This Row],[Unique Name]],NLIndexTable[Unique Name],0))*M18*'Project Info'!$C$69*IF(NLTable[[#This Row],[CalcMethod]]="HVAC-MUA",1,MIN(O19*'Project Info'!$H$118/(NLTable[[#This Row],[Baseline Values]]*'Project Info'!$C$69*'Project Info'!$D$97*3.41/1000),1)),"")</f>
        <v/>
      </c>
      <c r="AC18" s="310" t="str">
        <f>IF(OR(NLTable[[#This Row],[CalcMethod]]="HVAC-HP-Heads",NLTable[[#This Row],[CalcMethod]]="HVAC-HP-Suite",NLTable[[#This Row],[CalcMethod]]="HVAC-HP-Tons",NLTable[[#This Row],[CalcMethod]]="HVAC-PTHP",NLTable[[#This Row],[CalcMethod]]="HVAC-MUA"),INDEX(NLIndexTable[kW Savings],MATCH(NLTable[[#This Row],[Unique Name]],NLIndexTable[Unique Name],0))*M18*'Project Info'!$C$69*IF(NLTable[[#This Row],[CalcMethod]]="HVAC-MUA",1,MIN(O19*'Project Info'!$H$118/(NLTable[[#This Row],[Baseline Values]]*'Project Info'!$C$69*'Project Info'!$D$97*3.41/1000),1)),"")</f>
        <v/>
      </c>
      <c r="AD18" s="310"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Name],0))*M18*'Project Info'!$C$69*IF(NLTable[[#This Row],[CalcMethod]]="HVAC-MUA",1,MIN(O19*'Project Info'!$H$118/(NLTable[[#This Row],[Baseline Values]]*'Project Info'!$C$69*'Project Info'!$D$97*3.41/1000),1))/277.78,"")</f>
        <v/>
      </c>
      <c r="AE18" s="310" t="str">
        <f>IF(NLTable[[#This Row],[CalcMethod]]="Commercial Kitchen",INDEX(NLIndexTable[Elec Savings kWh],MATCH(NLTable[[#This Row],[Unique Name]],NLIndexTable[Unique Name],0))*O18,"")</f>
        <v/>
      </c>
      <c r="AF18" s="310" t="str">
        <f>IF(NLTable[[#This Row],[CalcMethod]]="Commercial Kitchen",IF(NLTable[[#This Row],[Measure Type (Energy Efficiency or Low Carbon Electrification)]]="LCE",-1*O19*NLTable[[#This Row],[Retrofit Values]],NLTable[[#This Row],[Baseline Values]]*M19-NLTable[[#This Row],[Retrofit Values]]*O19),"")</f>
        <v/>
      </c>
      <c r="AG18" s="310" t="str">
        <f>IF(NLTable[[#This Row],[CalcMethod]]="Commercial Kitchen",INDEX(NLIndexTable[Gas Savings kWh],MATCH(NLTable[[#This Row],[Unique Name]],NLIndexTable[Unique Name],0))*O18,"")</f>
        <v/>
      </c>
      <c r="AH18" s="310" t="str">
        <f>IF(NLTable[[#This Row],[CalcMethod]]="Mechanical",IF(NLTable[[#This Row],[Unique Name]]="Mech_EE-Parkade CO - HVAC Controls",NLTable[[#This Row],[Baseline Values]]*0.7457*M19*(M20-O18),(NLTable[[#This Row],[Baseline Values]]*M19*0.7457*M20)-(NLTable[[#This Row],[Baseline Values]]*M19*0.7457*0.75^2.5*O18)),"")</f>
        <v/>
      </c>
      <c r="AI18" s="310"/>
      <c r="AJ18" s="310"/>
      <c r="AK18" s="310" t="str">
        <f>IF(OR(NLTable[[#This Row],[CalcMethod]]="Refrigeration",NLTable[[#This Row],[CalcMethod]]="Refrig-cases"),INDEX(NLIndexTable[Elec Savings kWh],MATCH(NLTable[[#This Row],[Unique Name]],NLIndexTable[Unique Name],0))*O18,"")</f>
        <v/>
      </c>
      <c r="AL18" s="310" t="str">
        <f>IF(NLTable[[#This Row],[CalcMethod]]="Refrigeration",NLTable[[#This Row],[Baseline Values]]*M19-NLTable[[#This Row],[Retrofit Values]]*O19,"")</f>
        <v/>
      </c>
      <c r="AM18" s="310"/>
      <c r="AN18" s="311">
        <f>MIN(SUM(NLTable[[#This Row],[DHW]:[Refrig]]),NLTable[[#This Row],[Total Capital Cost, $]])</f>
        <v>0</v>
      </c>
      <c r="AO18" s="312">
        <f>SUM(NLTable[[#This Row],[DHW-kWh]],NLTable[[#This Row],[Env-kWH]],NLTable[[#This Row],[HVAC-kWH]],NLTable[[#This Row],[CK-kWH]],NLTable[[#This Row],[Mech-kWh]],NLTable[[#This Row],[Refg-kWh]])</f>
        <v>0</v>
      </c>
      <c r="AP18" s="312">
        <f>SUM(NLTable[[#This Row],[DHW-kW]],NLTable[[#This Row],[Env-kW]],NLTable[[#This Row],[HVAC-kW]],NLTable[[#This Row],[CK-kW]],NLTable[[#This Row],[Mech-kW]],NLTable[[#This Row],[Refg-kW]])</f>
        <v>0</v>
      </c>
      <c r="AQ18" s="312">
        <f>SUM(NLTable[[#This Row],[DHW-GJ]],NLTable[[#This Row],[Env-GJ]],NLTable[[#This Row],[HVAC-GJ]],NLTable[[#This Row],[CK-GJ]],NLTable[[#This Row],[Mech-GJ]],NLTable[[#This Row],[Refg-GJ]])</f>
        <v>0</v>
      </c>
      <c r="AR18" s="311" t="e">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#N/A</v>
      </c>
      <c r="AS18" s="312">
        <f>NLTable[[#This Row],[Nat. Gas Savings, GJ/yr]]*50/1000</f>
        <v>0</v>
      </c>
      <c r="AT18" s="312" cm="1">
        <f t="array" ref="AT18">SUM(IF(N18:N22="Total Capital Cost ($)",O18:O22,0))</f>
        <v>0</v>
      </c>
      <c r="AU18" s="313" t="str">
        <f>IFERROR(IF((NLTable[[#This Row],[Total Capital Cost, $]]-NLTable[[#This Row],[Total Rebate]])/NLTable[[#This Row],[Est. Energy Cost Savings, $]]&gt;0,(NLTable[[#This Row],[Total Capital Cost, $]]-NLTable[[#This Row],[Total Rebate]])/NLTable[[#This Row],[Est. Energy Cost Savings, $]],"No Payback"),"")</f>
        <v/>
      </c>
      <c r="AV18" s="314">
        <f>IF(NLTable[[#This Row],[Selected for Implementation]]="Yes",1,0)</f>
        <v>0</v>
      </c>
      <c r="AW18" s="314">
        <f>NLTable[[#This Row],[Implement]]*NLTable[[#This Row],[Total Rebate]]</f>
        <v>0</v>
      </c>
      <c r="AX18" s="314">
        <f>NLTable[[#This Row],[Implement]]*NLTable[[#This Row],[Electric Savings, kWh/yr]]</f>
        <v>0</v>
      </c>
      <c r="AY18" s="314">
        <f>NLTable[[#This Row],[Implement]]*NLTable[[#This Row],[Peak Demand Savings, kW]]</f>
        <v>0</v>
      </c>
      <c r="AZ18" s="314">
        <f>NLTable[[#This Row],[Implement]]*NLTable[[#This Row],[Nat. Gas Savings, GJ/yr]]</f>
        <v>0</v>
      </c>
      <c r="BA18" s="314" t="e">
        <f>NLTable[[#This Row],[Implement]]*NLTable[[#This Row],[Est. Energy Cost Savings, $]]</f>
        <v>#N/A</v>
      </c>
      <c r="BB18" s="314">
        <f>NLTable[[#This Row],[Implement]]*NLTable[[#This Row],[GHG Reduction, tCO2e/yr]]</f>
        <v>0</v>
      </c>
      <c r="BC18" s="314">
        <f>IFERROR(NLTable[[#This Row],[GHG Reduction]]*INDEX(NLIndexTable[Persistence],MATCH(NLTable[[#This Row],[Unique Name]],NLIndexTable[Unique Name],0)),0)</f>
        <v>0</v>
      </c>
      <c r="BD18" s="314">
        <f>NLTable[[#This Row],[Implement]]*NLTable[[#This Row],[Total Capital Cost, $]]</f>
        <v>0</v>
      </c>
      <c r="BE18" s="314" t="str">
        <f>IFERROR(INDEX(NLIndexTable[Equivalent xRM ECM],MATCH(NLTable[[#This Row],[Concatenate]],NLIndexTable[Unique Name],0)),"")</f>
        <v/>
      </c>
      <c r="BF18" s="314" t="str">
        <f>IF(NLTable[[#This Row],[Selected for Implementation]]="Yes",IF(NLTable[[#This Row],[No]]="","",NLTable[[#This Row],[Unique Name]]),"")</f>
        <v/>
      </c>
      <c r="BG18" s="617" cm="1">
        <f t="array" ref="BG18">IFERROR(IF(NLTable[[#This Row],[Implement]],SUM(IF(N18:N22="Total Area of Glazing Installed (ft2)",O18:O22,0)),0),0)</f>
        <v>0</v>
      </c>
      <c r="BH18" s="646"/>
    </row>
    <row r="19" spans="1:60" ht="24.65" customHeight="1" x14ac:dyDescent="0.3">
      <c r="A19" s="479"/>
      <c r="B19" s="481"/>
      <c r="C19" s="315"/>
      <c r="D19" s="221">
        <f t="shared" ref="D19:J19" si="8">D18</f>
        <v>0</v>
      </c>
      <c r="E19" s="221">
        <f t="shared" si="8"/>
        <v>0</v>
      </c>
      <c r="F19" s="221" t="str">
        <f t="shared" si="8"/>
        <v/>
      </c>
      <c r="G19" s="221">
        <f t="shared" si="8"/>
        <v>0</v>
      </c>
      <c r="H19" s="221" t="str">
        <f t="shared" si="8"/>
        <v>Mech_-</v>
      </c>
      <c r="I19" s="221" t="str">
        <f t="shared" si="8"/>
        <v/>
      </c>
      <c r="J19" s="222" t="str">
        <f t="shared" si="8"/>
        <v/>
      </c>
      <c r="K19" s="316">
        <v>2</v>
      </c>
      <c r="L19" s="317" t="str">
        <f>IFERROR(INDEX(NLBaselineParam[#Data],MATCH(NLTable[[#This Row],[Index]],NLBaselineParam[Var],0),MATCH(NLTable[[#This Row],[CalcMethod]],NLBaselineParam[#Headers],0)),"")</f>
        <v/>
      </c>
      <c r="M19" s="529"/>
      <c r="N19" s="318" t="str">
        <f>IFERROR(INDEX(NLProposedParam[#Data],MATCH(NLTable[[#This Row],[Index]],NLProposedParam[Var],0),MATCH(NLTable[[#This Row],[CalcMethod]],NLProposedParam[#Headers],0)),"")</f>
        <v/>
      </c>
      <c r="O19" s="529"/>
      <c r="P19" s="319"/>
      <c r="Q19" s="319"/>
      <c r="R19" s="319"/>
      <c r="S19" s="319"/>
      <c r="T19" s="319"/>
      <c r="U19" s="319"/>
      <c r="V19" s="320"/>
      <c r="W19" s="320"/>
      <c r="X19" s="320"/>
      <c r="Y19" s="320"/>
      <c r="Z19" s="320"/>
      <c r="AA19" s="320"/>
      <c r="AB19" s="320"/>
      <c r="AC19" s="320"/>
      <c r="AD19" s="320"/>
      <c r="AE19" s="320"/>
      <c r="AF19" s="320"/>
      <c r="AG19" s="320"/>
      <c r="AH19" s="320"/>
      <c r="AI19" s="320"/>
      <c r="AJ19" s="320"/>
      <c r="AK19" s="320"/>
      <c r="AL19" s="320"/>
      <c r="AM19" s="320"/>
      <c r="AN19" s="221"/>
      <c r="AO19" s="221"/>
      <c r="AP19" s="221"/>
      <c r="AQ19" s="221"/>
      <c r="AR19" s="221"/>
      <c r="AS19" s="221"/>
      <c r="AT19" s="221"/>
      <c r="AU19" s="223"/>
      <c r="AV19" s="314">
        <f>IF(NLTable[[#This Row],[Selected for Implementation]]="Yes",1,0)</f>
        <v>0</v>
      </c>
      <c r="AW19" s="314">
        <f>NLTable[[#This Row],[Implement]]*NLTable[[#This Row],[Total Rebate]]</f>
        <v>0</v>
      </c>
      <c r="AX19" s="314">
        <f>NLTable[[#This Row],[Implement]]*NLTable[[#This Row],[Electric Savings, kWh/yr]]</f>
        <v>0</v>
      </c>
      <c r="AY19" s="314">
        <f>NLTable[[#This Row],[Implement]]*NLTable[[#This Row],[Peak Demand Savings, kW]]</f>
        <v>0</v>
      </c>
      <c r="AZ19" s="314">
        <f>NLTable[[#This Row],[Implement]]*NLTable[[#This Row],[Nat. Gas Savings, GJ/yr]]</f>
        <v>0</v>
      </c>
      <c r="BA19" s="314">
        <f>NLTable[[#This Row],[Implement]]*NLTable[[#This Row],[Est. Energy Cost Savings, $]]</f>
        <v>0</v>
      </c>
      <c r="BB19" s="314">
        <f>NLTable[[#This Row],[Implement]]*NLTable[[#This Row],[GHG Reduction, tCO2e/yr]]</f>
        <v>0</v>
      </c>
      <c r="BC19" s="314">
        <f>IFERROR(NLTable[[#This Row],[GHG Reduction]]*INDEX(NLIndexTable[Persistence],MATCH(NLTable[[#This Row],[Unique Name]],NLIndexTable[Unique Name],0)),0)</f>
        <v>0</v>
      </c>
      <c r="BD19" s="314">
        <f>NLTable[[#This Row],[Implement]]*NLTable[[#This Row],[Total Capital Cost, $]]</f>
        <v>0</v>
      </c>
      <c r="BE19" s="321" t="str">
        <f>""</f>
        <v/>
      </c>
      <c r="BF19" s="314" t="str">
        <f>IF(NLTable[[#This Row],[Selected for Implementation]]="Yes",IF(NLTable[[#This Row],[No]]="","",NLTable[[#This Row],[Unique Name]]),"")</f>
        <v/>
      </c>
      <c r="BG19" s="617"/>
      <c r="BH19" s="647"/>
    </row>
    <row r="20" spans="1:60" ht="24.65" customHeight="1" x14ac:dyDescent="0.3">
      <c r="A20" s="479"/>
      <c r="B20" s="482"/>
      <c r="C20" s="322"/>
      <c r="D20" s="224">
        <f t="shared" ref="D20:J20" si="9">D18</f>
        <v>0</v>
      </c>
      <c r="E20" s="224">
        <f t="shared" si="9"/>
        <v>0</v>
      </c>
      <c r="F20" s="224" t="str">
        <f t="shared" si="9"/>
        <v/>
      </c>
      <c r="G20" s="224">
        <f t="shared" si="9"/>
        <v>0</v>
      </c>
      <c r="H20" s="224" t="str">
        <f t="shared" si="9"/>
        <v>Mech_-</v>
      </c>
      <c r="I20" s="224" t="str">
        <f t="shared" si="9"/>
        <v/>
      </c>
      <c r="J20" s="225" t="str">
        <f t="shared" si="9"/>
        <v/>
      </c>
      <c r="K20" s="316">
        <v>3</v>
      </c>
      <c r="L20" s="317" t="str">
        <f>IFERROR(INDEX(NLBaselineParam[#Data],MATCH(NLTable[[#This Row],[Index]],NLBaselineParam[Var],0),MATCH(NLTable[[#This Row],[CalcMethod]],NLBaselineParam[#Headers],0)),"")</f>
        <v/>
      </c>
      <c r="M20" s="529"/>
      <c r="N20" s="318" t="str">
        <f>IFERROR(INDEX(NLProposedParam[#Data],MATCH(NLTable[[#This Row],[Index]],NLProposedParam[Var],0),MATCH(NLTable[[#This Row],[CalcMethod]],NLProposedParam[#Headers],0)),"")</f>
        <v/>
      </c>
      <c r="O20" s="529"/>
      <c r="P20" s="319"/>
      <c r="Q20" s="319"/>
      <c r="R20" s="319"/>
      <c r="S20" s="319"/>
      <c r="T20" s="319"/>
      <c r="U20" s="319"/>
      <c r="V20" s="320"/>
      <c r="W20" s="320"/>
      <c r="X20" s="320"/>
      <c r="Y20" s="320"/>
      <c r="Z20" s="320"/>
      <c r="AA20" s="320"/>
      <c r="AB20" s="320"/>
      <c r="AC20" s="320"/>
      <c r="AD20" s="320"/>
      <c r="AE20" s="320"/>
      <c r="AF20" s="320"/>
      <c r="AG20" s="320"/>
      <c r="AH20" s="320"/>
      <c r="AI20" s="320"/>
      <c r="AJ20" s="320"/>
      <c r="AK20" s="320"/>
      <c r="AL20" s="320"/>
      <c r="AM20" s="320"/>
      <c r="AN20" s="224"/>
      <c r="AO20" s="224"/>
      <c r="AP20" s="224"/>
      <c r="AQ20" s="224"/>
      <c r="AR20" s="224"/>
      <c r="AS20" s="224"/>
      <c r="AT20" s="224"/>
      <c r="AU20" s="226"/>
      <c r="AV20" s="314">
        <f>IF(NLTable[[#This Row],[Selected for Implementation]]="Yes",1,0)</f>
        <v>0</v>
      </c>
      <c r="AW20" s="314">
        <f>NLTable[[#This Row],[Implement]]*NLTable[[#This Row],[Total Rebate]]</f>
        <v>0</v>
      </c>
      <c r="AX20" s="314">
        <f>NLTable[[#This Row],[Implement]]*NLTable[[#This Row],[Electric Savings, kWh/yr]]</f>
        <v>0</v>
      </c>
      <c r="AY20" s="314">
        <f>NLTable[[#This Row],[Implement]]*NLTable[[#This Row],[Peak Demand Savings, kW]]</f>
        <v>0</v>
      </c>
      <c r="AZ20" s="314">
        <f>NLTable[[#This Row],[Implement]]*NLTable[[#This Row],[Nat. Gas Savings, GJ/yr]]</f>
        <v>0</v>
      </c>
      <c r="BA20" s="314">
        <f>NLTable[[#This Row],[Implement]]*NLTable[[#This Row],[Est. Energy Cost Savings, $]]</f>
        <v>0</v>
      </c>
      <c r="BB20" s="314">
        <f>NLTable[[#This Row],[Implement]]*NLTable[[#This Row],[GHG Reduction, tCO2e/yr]]</f>
        <v>0</v>
      </c>
      <c r="BC20" s="314">
        <f>IFERROR(NLTable[[#This Row],[GHG Reduction]]*INDEX(NLIndexTable[Persistence],MATCH(NLTable[[#This Row],[Unique Name]],NLIndexTable[Unique Name],0)),0)</f>
        <v>0</v>
      </c>
      <c r="BD20" s="314">
        <f>NLTable[[#This Row],[Implement]]*NLTable[[#This Row],[Total Capital Cost, $]]</f>
        <v>0</v>
      </c>
      <c r="BE20" s="321" t="str">
        <f>""</f>
        <v/>
      </c>
      <c r="BF20" s="314" t="str">
        <f>IF(NLTable[[#This Row],[Selected for Implementation]]="Yes",IF(NLTable[[#This Row],[No]]="","",NLTable[[#This Row],[Unique Name]]),"")</f>
        <v/>
      </c>
      <c r="BG20" s="617"/>
      <c r="BH20" s="647"/>
    </row>
    <row r="21" spans="1:60" ht="24.65" customHeight="1" x14ac:dyDescent="0.3">
      <c r="A21" s="479"/>
      <c r="B21" s="482"/>
      <c r="C21" s="322"/>
      <c r="D21" s="224">
        <f t="shared" ref="D21:J21" si="10">D18</f>
        <v>0</v>
      </c>
      <c r="E21" s="224">
        <f t="shared" si="10"/>
        <v>0</v>
      </c>
      <c r="F21" s="224" t="str">
        <f t="shared" si="10"/>
        <v/>
      </c>
      <c r="G21" s="224">
        <f t="shared" si="10"/>
        <v>0</v>
      </c>
      <c r="H21" s="224" t="str">
        <f t="shared" si="10"/>
        <v>Mech_-</v>
      </c>
      <c r="I21" s="224" t="str">
        <f t="shared" si="10"/>
        <v/>
      </c>
      <c r="J21" s="225" t="str">
        <f t="shared" si="10"/>
        <v/>
      </c>
      <c r="K21" s="316">
        <v>4</v>
      </c>
      <c r="L21" s="317" t="str">
        <f>IFERROR(INDEX(NLBaselineParam[#Data],MATCH(NLTable[[#This Row],[Index]],NLBaselineParam[Var],0),MATCH(NLTable[[#This Row],[CalcMethod]],NLBaselineParam[#Headers],0)),"")</f>
        <v/>
      </c>
      <c r="M21" s="529"/>
      <c r="N21" s="318" t="str">
        <f>IFERROR(INDEX(NLProposedParam[#Data],MATCH(NLTable[[#This Row],[Index]],NLProposedParam[Var],0),MATCH(NLTable[[#This Row],[CalcMethod]],NLProposedParam[#Headers],0)),"")</f>
        <v/>
      </c>
      <c r="O21" s="529"/>
      <c r="P21" s="319"/>
      <c r="Q21" s="319"/>
      <c r="R21" s="319"/>
      <c r="S21" s="319"/>
      <c r="T21" s="319"/>
      <c r="U21" s="319"/>
      <c r="V21" s="320"/>
      <c r="W21" s="320"/>
      <c r="X21" s="320"/>
      <c r="Y21" s="320"/>
      <c r="Z21" s="320"/>
      <c r="AA21" s="320"/>
      <c r="AB21" s="320"/>
      <c r="AC21" s="320"/>
      <c r="AD21" s="320"/>
      <c r="AE21" s="320"/>
      <c r="AF21" s="320"/>
      <c r="AG21" s="320"/>
      <c r="AH21" s="320"/>
      <c r="AI21" s="320"/>
      <c r="AJ21" s="320"/>
      <c r="AK21" s="320"/>
      <c r="AL21" s="320"/>
      <c r="AM21" s="320"/>
      <c r="AN21" s="224"/>
      <c r="AO21" s="224"/>
      <c r="AP21" s="224"/>
      <c r="AQ21" s="224"/>
      <c r="AR21" s="224"/>
      <c r="AS21" s="224"/>
      <c r="AT21" s="224"/>
      <c r="AU21" s="226"/>
      <c r="AV21" s="314">
        <f>IF(NLTable[[#This Row],[Selected for Implementation]]="Yes",1,0)</f>
        <v>0</v>
      </c>
      <c r="AW21" s="314">
        <f>NLTable[[#This Row],[Implement]]*NLTable[[#This Row],[Total Rebate]]</f>
        <v>0</v>
      </c>
      <c r="AX21" s="314">
        <f>NLTable[[#This Row],[Implement]]*NLTable[[#This Row],[Electric Savings, kWh/yr]]</f>
        <v>0</v>
      </c>
      <c r="AY21" s="314">
        <f>NLTable[[#This Row],[Implement]]*NLTable[[#This Row],[Peak Demand Savings, kW]]</f>
        <v>0</v>
      </c>
      <c r="AZ21" s="314">
        <f>NLTable[[#This Row],[Implement]]*NLTable[[#This Row],[Nat. Gas Savings, GJ/yr]]</f>
        <v>0</v>
      </c>
      <c r="BA21" s="314">
        <f>NLTable[[#This Row],[Implement]]*NLTable[[#This Row],[Est. Energy Cost Savings, $]]</f>
        <v>0</v>
      </c>
      <c r="BB21" s="314">
        <f>NLTable[[#This Row],[Implement]]*NLTable[[#This Row],[GHG Reduction, tCO2e/yr]]</f>
        <v>0</v>
      </c>
      <c r="BC21" s="314">
        <f>IFERROR(NLTable[[#This Row],[GHG Reduction]]*INDEX(NLIndexTable[Persistence],MATCH(NLTable[[#This Row],[Unique Name]],NLIndexTable[Unique Name],0)),0)</f>
        <v>0</v>
      </c>
      <c r="BD21" s="314">
        <f>NLTable[[#This Row],[Implement]]*NLTable[[#This Row],[Total Capital Cost, $]]</f>
        <v>0</v>
      </c>
      <c r="BE21" s="321" t="str">
        <f>""</f>
        <v/>
      </c>
      <c r="BF21" s="314" t="str">
        <f>IF(NLTable[[#This Row],[Selected for Implementation]]="Yes",IF(NLTable[[#This Row],[No]]="","",NLTable[[#This Row],[Unique Name]]),"")</f>
        <v/>
      </c>
      <c r="BG21" s="617"/>
      <c r="BH21" s="647"/>
    </row>
    <row r="22" spans="1:60" s="230" customFormat="1" ht="24.65" customHeight="1" thickBot="1" x14ac:dyDescent="0.35">
      <c r="A22" s="479"/>
      <c r="B22" s="483"/>
      <c r="C22" s="323"/>
      <c r="D22" s="227">
        <f t="shared" ref="D22:J22" si="11">D18</f>
        <v>0</v>
      </c>
      <c r="E22" s="227">
        <f t="shared" si="11"/>
        <v>0</v>
      </c>
      <c r="F22" s="227" t="str">
        <f t="shared" si="11"/>
        <v/>
      </c>
      <c r="G22" s="227">
        <f t="shared" si="11"/>
        <v>0</v>
      </c>
      <c r="H22" s="227" t="str">
        <f t="shared" si="11"/>
        <v>Mech_-</v>
      </c>
      <c r="I22" s="227" t="str">
        <f t="shared" si="11"/>
        <v/>
      </c>
      <c r="J22" s="228" t="str">
        <f t="shared" si="11"/>
        <v/>
      </c>
      <c r="K22" s="324">
        <v>5</v>
      </c>
      <c r="L22" s="325" t="str">
        <f>IFERROR(INDEX(NLBaselineParam[#Data],MATCH(NLTable[[#This Row],[Index]],NLBaselineParam[Var],0),MATCH(NLTable[[#This Row],[CalcMethod]],NLBaselineParam[#Headers],0)),"")</f>
        <v/>
      </c>
      <c r="M22" s="530"/>
      <c r="N22" s="326" t="str">
        <f>IFERROR(INDEX(NLProposedParam[#Data],MATCH(NLTable[[#This Row],[Index]],NLProposedParam[Var],0),MATCH(NLTable[[#This Row],[CalcMethod]],NLProposedParam[#Headers],0)),"")</f>
        <v/>
      </c>
      <c r="O22" s="530"/>
      <c r="P22" s="327"/>
      <c r="Q22" s="327"/>
      <c r="R22" s="327"/>
      <c r="S22" s="327"/>
      <c r="T22" s="327"/>
      <c r="U22" s="327"/>
      <c r="V22" s="328"/>
      <c r="W22" s="328"/>
      <c r="X22" s="328"/>
      <c r="Y22" s="328"/>
      <c r="Z22" s="328"/>
      <c r="AA22" s="328"/>
      <c r="AB22" s="328"/>
      <c r="AC22" s="328"/>
      <c r="AD22" s="328"/>
      <c r="AE22" s="328"/>
      <c r="AF22" s="328"/>
      <c r="AG22" s="328"/>
      <c r="AH22" s="328"/>
      <c r="AI22" s="328"/>
      <c r="AJ22" s="328"/>
      <c r="AK22" s="328"/>
      <c r="AL22" s="328"/>
      <c r="AM22" s="328"/>
      <c r="AN22" s="227"/>
      <c r="AO22" s="227"/>
      <c r="AP22" s="227"/>
      <c r="AQ22" s="227"/>
      <c r="AR22" s="227"/>
      <c r="AS22" s="227"/>
      <c r="AT22" s="227"/>
      <c r="AU22" s="229"/>
      <c r="AV22" s="314">
        <f>IF(NLTable[[#This Row],[Selected for Implementation]]="Yes",1,0)</f>
        <v>0</v>
      </c>
      <c r="AW22" s="314">
        <f>NLTable[[#This Row],[Implement]]*NLTable[[#This Row],[Total Rebate]]</f>
        <v>0</v>
      </c>
      <c r="AX22" s="314">
        <f>NLTable[[#This Row],[Implement]]*NLTable[[#This Row],[Electric Savings, kWh/yr]]</f>
        <v>0</v>
      </c>
      <c r="AY22" s="314">
        <f>NLTable[[#This Row],[Implement]]*NLTable[[#This Row],[Peak Demand Savings, kW]]</f>
        <v>0</v>
      </c>
      <c r="AZ22" s="314">
        <f>NLTable[[#This Row],[Implement]]*NLTable[[#This Row],[Nat. Gas Savings, GJ/yr]]</f>
        <v>0</v>
      </c>
      <c r="BA22" s="314">
        <f>NLTable[[#This Row],[Implement]]*NLTable[[#This Row],[Est. Energy Cost Savings, $]]</f>
        <v>0</v>
      </c>
      <c r="BB22" s="314">
        <f>NLTable[[#This Row],[Implement]]*NLTable[[#This Row],[GHG Reduction, tCO2e/yr]]</f>
        <v>0</v>
      </c>
      <c r="BC22" s="314">
        <f>IFERROR(NLTable[[#This Row],[GHG Reduction]]*INDEX(NLIndexTable[Persistence],MATCH(NLTable[[#This Row],[Unique Name]],NLIndexTable[Unique Name],0)),0)</f>
        <v>0</v>
      </c>
      <c r="BD22" s="314">
        <f>NLTable[[#This Row],[Implement]]*NLTable[[#This Row],[Total Capital Cost, $]]</f>
        <v>0</v>
      </c>
      <c r="BE22" s="321" t="str">
        <f>""</f>
        <v/>
      </c>
      <c r="BF22" s="314" t="str">
        <f>IF(NLTable[[#This Row],[Selected for Implementation]]="Yes",IF(NLTable[[#This Row],[No]]="","",NLTable[[#This Row],[Unique Name]]),"")</f>
        <v/>
      </c>
      <c r="BG22" s="617"/>
      <c r="BH22" s="648"/>
    </row>
    <row r="23" spans="1:60" s="220" customFormat="1" ht="24.65" customHeight="1" x14ac:dyDescent="0.3">
      <c r="A23" s="479"/>
      <c r="B23" s="480" t="str">
        <f>IF(NLTable[[#This Row],[Baseline equipment energy source (or heating source for envelope measures)]]="","","NL-"&amp;(ROW(B23)-3)/5)</f>
        <v/>
      </c>
      <c r="C23" s="48"/>
      <c r="D23" s="48"/>
      <c r="E23" s="48"/>
      <c r="F23" s="303" t="str">
        <f>IF(ISBLANK(NLTable[[#This Row],[Baseline equipment energy source (or heating source for envelope measures)]]),"",IF(NLTable[[#This Row],[Baseline equipment energy source (or heating source for envelope measures)]]="Electricity", "EE", "LCE"))</f>
        <v/>
      </c>
      <c r="G23" s="49"/>
      <c r="H23" s="219" t="str">
        <f>"Mech_"&amp;NLTable[[#This Row],[Measure Type (Energy Efficiency or Low Carbon Electrification)]]&amp;"-"&amp;NLTable[[#This Row],[Energy Measure]]</f>
        <v>Mech_-</v>
      </c>
      <c r="I23" s="304" t="str">
        <f>IF(NLTable[[#This Row],[End-Use]]="","",INDEX(NLIndexTable[CalcMethod],MATCH(NLTable[[#This Row],[Energy Measure]],NLIndexTable[BCH Rerofit Technology],0)))</f>
        <v/>
      </c>
      <c r="J23" s="305" t="str">
        <f>IFERROR(INDEX(NLIndexTable[BC Hydro pu],MATCH(NLTable[[#This Row],[Unique Name]],NLIndexTable[Unique Name],0)),"")</f>
        <v/>
      </c>
      <c r="K23" s="306">
        <v>1</v>
      </c>
      <c r="L23" s="307" t="str">
        <f>IFERROR(INDEX(NLBaselineParam[#Data],MATCH(NLTable[[#This Row],[Index]],NLBaselineParam[Var],0),MATCH(NLTable[[#This Row],[CalcMethod]],NLBaselineParam[#Headers],0)),"")</f>
        <v/>
      </c>
      <c r="M23" s="528"/>
      <c r="N23" s="308" t="str">
        <f>IFERROR(INDEX(NLProposedParam[#Data],MATCH(NLTable[[#This Row],[Index]],NLProposedParam[Var],0),MATCH(NLTable[[#This Row],[CalcMethod]],NLProposedParam[#Headers],0)),"")</f>
        <v/>
      </c>
      <c r="O23" s="528"/>
      <c r="P23" s="309" t="str">
        <f>IF(NLTable[[#This Row],[CalcMethod]]="DHW",IF(NLTable[[#This Row],[Rebate Unit]]="per unit",M24*INDEX(NLIndexTable[BC Hydro Rebate],MATCH(NLTable[[#This Row],[Unique Name]],NLIndexTable[Unique Name],0)),M23*INDEX(NLIndexTable[BC Hydro Rebate],MATCH(NLTable[[#This Row],[Unique Name]],NLIndexTable[Unique Name],0))),"")</f>
        <v/>
      </c>
      <c r="Q23" s="309" t="str">
        <f>IF(NLTable[[#This Row],[CalcMethod]]="Windows",MIN(INDEX(NLIndexTable[BC Hydro Rebate],MATCH(NLTable[[#This Row],[Unique Name]],NLIndexTable[Unique Name],0))*O24,NLTable[[#This Row],[Retrofit Values]]*1200),IF(NLTable[[#This Row],[CalcMethod]]="Envelope",INDEX(NLIndexTable[BC Hydro Rebate],MATCH(NLTable[[#This Row],[Unique Name]],NLIndexTable[Unique Name],0))*O24,""))</f>
        <v/>
      </c>
      <c r="R23" s="309" t="str">
        <f>IF(NLTable[[#This Row],[End-Use]]="HVAC",IF(NLTable[[#This Row],[CalcMethod]]="HVAC-MUA",O24*INDEX(NLIndexTable[BC Hydro Rebate],MATCH(NLTable[[#This Row],[Unique Name]],NLIndexTable[Unique Name],0)),O23*INDEX(NLIndexTable[BC Hydro Rebate],MATCH(NLTable[[#This Row],[Unique Name]],NLIndexTable[Unique Name],0))),"")</f>
        <v/>
      </c>
      <c r="S23" s="309" t="str">
        <f>IF(NLTable[[#This Row],[Measure Type (Energy Efficiency or Low Carbon Electrification)]]="EE",IF(NLTable[[#This Row],[CalcMethod]]="Commercial Kitchen",O23*INDEX(NLIndexTable[BC Hydro Rebate],MATCH(NLTable[[#This Row],[Unique Name]],NLIndexTable[Unique Name],0)),""),"")</f>
        <v/>
      </c>
      <c r="T23" s="309" t="str">
        <f>IF(NLTable[[#This Row],[CalcMethod]]="Mechanical",IF(NLTable[[#This Row],[Rebate Unit]]="per unit",M24*INDEX(NLIndexTable[BC Hydro Rebate],MATCH(NLTable[[#This Row],[Unique Name]],NLIndexTable[Unique Name],0)),M24*M23*INDEX(NLIndexTable[BC Hydro Rebate],MATCH(NLTable[[#This Row],[Unique Name]],NLIndexTable[Unique Name],0))),"")</f>
        <v/>
      </c>
      <c r="U23" s="309" t="str">
        <f>IF(NLTable[[#This Row],[CalcMethod]]="Refrigeration",O23*INDEX(NLIndexTable[BC Hydro Rebate],MATCH(NLTable[[#This Row],[Unique Name]],NLIndexTable[Unique Name],0)),"")</f>
        <v/>
      </c>
      <c r="V23" s="310" t="str">
        <f>IF(NLTable[[#This Row],[CalcMethod]]="DHW",INDEX(NLIndexTable[Elec Savings kWh],MATCH(NLTable[[#This Row],[Unique Name]],NLIndexTable[Unique Name],0))*M23,"")</f>
        <v/>
      </c>
      <c r="W23" s="310" t="str">
        <f>IF(NLTable[[#This Row],[CalcMethod]]="DHW",INDEX(NLIndexTable[kW Savings],MATCH(NLTable[[#This Row],[Unique Name]],NLIndexTable[Unique Name],0))*M23,"")</f>
        <v/>
      </c>
      <c r="X23" s="310" t="str">
        <f>IF(NLTable[[#This Row],[CalcMethod]]="DHW",INDEX(NLIndexTable[Gas Savings kWh],MATCH(NLTable[[#This Row],[Unique Name]],NLIndexTable[Unique Name],0))*M23/277.78,"")</f>
        <v/>
      </c>
      <c r="Y23" s="310" t="str">
        <f>IF(NLTable[[#This Row],[CalcMethod]]="Envelope",INDEX(NLIndexTable[Elec Savings kWh],MATCH(NLTable[[#This Row],[Unique Name]],NLIndexTable[Unique Name],0))*M23/100,IF(NLTable[[#This Row],[CalcMethod]]="Windows",INDEX(NLIndexTable[Elec Savings kWh],MATCH(NLTable[[#This Row],[Unique Name]],NLIndexTable[Unique Name],0))*M23/100,""))</f>
        <v/>
      </c>
      <c r="Z23" s="310"/>
      <c r="AA23" s="310"/>
      <c r="AB23" s="310" t="str">
        <f>IF(OR(NLTable[[#This Row],[CalcMethod]]="HVAC-HP-Heads",NLTable[[#This Row],[CalcMethod]]="HVAC-HP-Suite",NLTable[[#This Row],[CalcMethod]]="HVAC-HP-Tons",NLTable[[#This Row],[CalcMethod]]="HVAC-PTHP",NLTable[[#This Row],[CalcMethod]]="HVAC-MUA"),INDEX(NLIndexTable[Elec Savings kWh],MATCH(NLTable[[#This Row],[Unique Name]],NLIndexTable[Unique Name],0))*M23*'Project Info'!$C$69*IF(NLTable[[#This Row],[CalcMethod]]="HVAC-MUA",1,MIN(O24*'Project Info'!$H$118/(NLTable[[#This Row],[Baseline Values]]*'Project Info'!$C$69*'Project Info'!$D$97*3.41/1000),1)),"")</f>
        <v/>
      </c>
      <c r="AC23" s="310" t="str">
        <f>IF(OR(NLTable[[#This Row],[CalcMethod]]="HVAC-HP-Heads",NLTable[[#This Row],[CalcMethod]]="HVAC-HP-Suite",NLTable[[#This Row],[CalcMethod]]="HVAC-HP-Tons",NLTable[[#This Row],[CalcMethod]]="HVAC-PTHP",NLTable[[#This Row],[CalcMethod]]="HVAC-MUA"),INDEX(NLIndexTable[kW Savings],MATCH(NLTable[[#This Row],[Unique Name]],NLIndexTable[Unique Name],0))*M23*'Project Info'!$C$69*IF(NLTable[[#This Row],[CalcMethod]]="HVAC-MUA",1,MIN(O24*'Project Info'!$H$118/(NLTable[[#This Row],[Baseline Values]]*'Project Info'!$C$69*'Project Info'!$D$97*3.41/1000),1)),"")</f>
        <v/>
      </c>
      <c r="AD23" s="310"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Name],0))*M23*'Project Info'!$C$69*IF(NLTable[[#This Row],[CalcMethod]]="HVAC-MUA",1,MIN(O24*'Project Info'!$H$118/(NLTable[[#This Row],[Baseline Values]]*'Project Info'!$C$69*'Project Info'!$D$97*3.41/1000),1))/277.78,"")</f>
        <v/>
      </c>
      <c r="AE23" s="310" t="str">
        <f>IF(NLTable[[#This Row],[CalcMethod]]="Commercial Kitchen",INDEX(NLIndexTable[Elec Savings kWh],MATCH(NLTable[[#This Row],[Unique Name]],NLIndexTable[Unique Name],0))*O23,"")</f>
        <v/>
      </c>
      <c r="AF23" s="310" t="str">
        <f>IF(NLTable[[#This Row],[CalcMethod]]="Commercial Kitchen",IF(NLTable[[#This Row],[Measure Type (Energy Efficiency or Low Carbon Electrification)]]="LCE",-1*O24*NLTable[[#This Row],[Retrofit Values]],NLTable[[#This Row],[Baseline Values]]*M24-NLTable[[#This Row],[Retrofit Values]]*O24),"")</f>
        <v/>
      </c>
      <c r="AG23" s="310" t="str">
        <f>IF(NLTable[[#This Row],[CalcMethod]]="Commercial Kitchen",INDEX(NLIndexTable[Gas Savings kWh],MATCH(NLTable[[#This Row],[Unique Name]],NLIndexTable[Unique Name],0))*O23,"")</f>
        <v/>
      </c>
      <c r="AH23" s="310" t="str">
        <f>IF(NLTable[[#This Row],[CalcMethod]]="Mechanical",IF(NLTable[[#This Row],[Unique Name]]="Mech_EE-Parkade CO - HVAC Controls",NLTable[[#This Row],[Baseline Values]]*0.7457*M24*(M25-O23),(NLTable[[#This Row],[Baseline Values]]*M24*0.7457*M25)-(NLTable[[#This Row],[Baseline Values]]*M24*0.7457*0.75^2.5*O23)),"")</f>
        <v/>
      </c>
      <c r="AI23" s="310"/>
      <c r="AJ23" s="310"/>
      <c r="AK23" s="310" t="str">
        <f>IF(OR(NLTable[[#This Row],[CalcMethod]]="Refrigeration",NLTable[[#This Row],[CalcMethod]]="Refrig-cases"),INDEX(NLIndexTable[Elec Savings kWh],MATCH(NLTable[[#This Row],[Unique Name]],NLIndexTable[Unique Name],0))*O23,"")</f>
        <v/>
      </c>
      <c r="AL23" s="310" t="str">
        <f>IF(NLTable[[#This Row],[CalcMethod]]="Refrigeration",NLTable[[#This Row],[Baseline Values]]*M24-NLTable[[#This Row],[Retrofit Values]]*O24,"")</f>
        <v/>
      </c>
      <c r="AM23" s="310"/>
      <c r="AN23" s="311">
        <f>MIN(SUM(NLTable[[#This Row],[DHW]:[Refrig]]),NLTable[[#This Row],[Total Capital Cost, $]])</f>
        <v>0</v>
      </c>
      <c r="AO23" s="312">
        <f>SUM(NLTable[[#This Row],[DHW-kWh]],NLTable[[#This Row],[Env-kWH]],NLTable[[#This Row],[HVAC-kWH]],NLTable[[#This Row],[CK-kWH]],NLTable[[#This Row],[Mech-kWh]],NLTable[[#This Row],[Refg-kWh]])</f>
        <v>0</v>
      </c>
      <c r="AP23" s="312">
        <f>SUM(NLTable[[#This Row],[DHW-kW]],NLTable[[#This Row],[Env-kW]],NLTable[[#This Row],[HVAC-kW]],NLTable[[#This Row],[CK-kW]],NLTable[[#This Row],[Mech-kW]],NLTable[[#This Row],[Refg-kW]])</f>
        <v>0</v>
      </c>
      <c r="AQ23" s="312">
        <f>SUM(NLTable[[#This Row],[DHW-GJ]],NLTable[[#This Row],[Env-GJ]],NLTable[[#This Row],[HVAC-GJ]],NLTable[[#This Row],[CK-GJ]],NLTable[[#This Row],[Mech-GJ]],NLTable[[#This Row],[Refg-GJ]])</f>
        <v>0</v>
      </c>
      <c r="AR23" s="311" t="e">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#N/A</v>
      </c>
      <c r="AS23" s="312">
        <f>NLTable[[#This Row],[Nat. Gas Savings, GJ/yr]]*50/1000</f>
        <v>0</v>
      </c>
      <c r="AT23" s="312" cm="1">
        <f t="array" ref="AT23">SUM(IF(N23:N27="Total Capital Cost ($)",O23:O27,0))</f>
        <v>0</v>
      </c>
      <c r="AU23" s="313" t="str">
        <f>IFERROR(IF((NLTable[[#This Row],[Total Capital Cost, $]]-NLTable[[#This Row],[Total Rebate]])/NLTable[[#This Row],[Est. Energy Cost Savings, $]]&gt;0,(NLTable[[#This Row],[Total Capital Cost, $]]-NLTable[[#This Row],[Total Rebate]])/NLTable[[#This Row],[Est. Energy Cost Savings, $]],"No Payback"),"")</f>
        <v/>
      </c>
      <c r="AV23" s="314">
        <f>IF(NLTable[[#This Row],[Selected for Implementation]]="Yes",1,0)</f>
        <v>0</v>
      </c>
      <c r="AW23" s="314">
        <f>NLTable[[#This Row],[Implement]]*NLTable[[#This Row],[Total Rebate]]</f>
        <v>0</v>
      </c>
      <c r="AX23" s="314">
        <f>NLTable[[#This Row],[Implement]]*NLTable[[#This Row],[Electric Savings, kWh/yr]]</f>
        <v>0</v>
      </c>
      <c r="AY23" s="314">
        <f>NLTable[[#This Row],[Implement]]*NLTable[[#This Row],[Peak Demand Savings, kW]]</f>
        <v>0</v>
      </c>
      <c r="AZ23" s="314">
        <f>NLTable[[#This Row],[Implement]]*NLTable[[#This Row],[Nat. Gas Savings, GJ/yr]]</f>
        <v>0</v>
      </c>
      <c r="BA23" s="314" t="e">
        <f>NLTable[[#This Row],[Implement]]*NLTable[[#This Row],[Est. Energy Cost Savings, $]]</f>
        <v>#N/A</v>
      </c>
      <c r="BB23" s="314">
        <f>NLTable[[#This Row],[Implement]]*NLTable[[#This Row],[GHG Reduction, tCO2e/yr]]</f>
        <v>0</v>
      </c>
      <c r="BC23" s="314">
        <f>IFERROR(NLTable[[#This Row],[GHG Reduction]]*INDEX(NLIndexTable[Persistence],MATCH(NLTable[[#This Row],[Unique Name]],NLIndexTable[Unique Name],0)),0)</f>
        <v>0</v>
      </c>
      <c r="BD23" s="314">
        <f>NLTable[[#This Row],[Implement]]*NLTable[[#This Row],[Total Capital Cost, $]]</f>
        <v>0</v>
      </c>
      <c r="BE23" s="314" t="str">
        <f>IFERROR(INDEX(NLIndexTable[Equivalent xRM ECM],MATCH(NLTable[[#This Row],[Concatenate]],NLIndexTable[Unique Name],0)),"")</f>
        <v/>
      </c>
      <c r="BF23" s="314" t="str">
        <f>IF(NLTable[[#This Row],[Selected for Implementation]]="Yes",IF(NLTable[[#This Row],[No]]="","",NLTable[[#This Row],[Unique Name]]),"")</f>
        <v/>
      </c>
      <c r="BG23" s="617" cm="1">
        <f t="array" ref="BG23">IFERROR(IF(NLTable[[#This Row],[Implement]],SUM(IF(N23:N27="Total Area of Glazing Installed (ft2)",O23:O27,0)),0),0)</f>
        <v>0</v>
      </c>
      <c r="BH23" s="646"/>
    </row>
    <row r="24" spans="1:60" ht="24.65" customHeight="1" x14ac:dyDescent="0.3">
      <c r="A24" s="479"/>
      <c r="B24" s="481"/>
      <c r="C24" s="315"/>
      <c r="D24" s="221">
        <f t="shared" ref="D24:J24" si="12">D23</f>
        <v>0</v>
      </c>
      <c r="E24" s="221">
        <f t="shared" si="12"/>
        <v>0</v>
      </c>
      <c r="F24" s="221" t="str">
        <f t="shared" si="12"/>
        <v/>
      </c>
      <c r="G24" s="221">
        <f t="shared" si="12"/>
        <v>0</v>
      </c>
      <c r="H24" s="221" t="str">
        <f t="shared" si="12"/>
        <v>Mech_-</v>
      </c>
      <c r="I24" s="221" t="str">
        <f t="shared" si="12"/>
        <v/>
      </c>
      <c r="J24" s="222" t="str">
        <f t="shared" si="12"/>
        <v/>
      </c>
      <c r="K24" s="316">
        <v>2</v>
      </c>
      <c r="L24" s="317" t="str">
        <f>IFERROR(INDEX(NLBaselineParam[#Data],MATCH(NLTable[[#This Row],[Index]],NLBaselineParam[Var],0),MATCH(NLTable[[#This Row],[CalcMethod]],NLBaselineParam[#Headers],0)),"")</f>
        <v/>
      </c>
      <c r="M24" s="529"/>
      <c r="N24" s="318" t="str">
        <f>IFERROR(INDEX(NLProposedParam[#Data],MATCH(NLTable[[#This Row],[Index]],NLProposedParam[Var],0),MATCH(NLTable[[#This Row],[CalcMethod]],NLProposedParam[#Headers],0)),"")</f>
        <v/>
      </c>
      <c r="O24" s="529"/>
      <c r="P24" s="319"/>
      <c r="Q24" s="319"/>
      <c r="R24" s="319"/>
      <c r="S24" s="319"/>
      <c r="T24" s="319"/>
      <c r="U24" s="319"/>
      <c r="V24" s="320"/>
      <c r="W24" s="320"/>
      <c r="X24" s="320"/>
      <c r="Y24" s="320"/>
      <c r="Z24" s="320"/>
      <c r="AA24" s="320"/>
      <c r="AB24" s="320"/>
      <c r="AC24" s="320"/>
      <c r="AD24" s="320"/>
      <c r="AE24" s="320"/>
      <c r="AF24" s="320"/>
      <c r="AG24" s="320"/>
      <c r="AH24" s="320"/>
      <c r="AI24" s="320"/>
      <c r="AJ24" s="320"/>
      <c r="AK24" s="320"/>
      <c r="AL24" s="320"/>
      <c r="AM24" s="320"/>
      <c r="AN24" s="221"/>
      <c r="AO24" s="221"/>
      <c r="AP24" s="221"/>
      <c r="AQ24" s="221"/>
      <c r="AR24" s="221"/>
      <c r="AS24" s="221"/>
      <c r="AT24" s="221"/>
      <c r="AU24" s="223"/>
      <c r="AV24" s="314">
        <f>IF(NLTable[[#This Row],[Selected for Implementation]]="Yes",1,0)</f>
        <v>0</v>
      </c>
      <c r="AW24" s="314">
        <f>NLTable[[#This Row],[Implement]]*NLTable[[#This Row],[Total Rebate]]</f>
        <v>0</v>
      </c>
      <c r="AX24" s="314">
        <f>NLTable[[#This Row],[Implement]]*NLTable[[#This Row],[Electric Savings, kWh/yr]]</f>
        <v>0</v>
      </c>
      <c r="AY24" s="314">
        <f>NLTable[[#This Row],[Implement]]*NLTable[[#This Row],[Peak Demand Savings, kW]]</f>
        <v>0</v>
      </c>
      <c r="AZ24" s="314">
        <f>NLTable[[#This Row],[Implement]]*NLTable[[#This Row],[Nat. Gas Savings, GJ/yr]]</f>
        <v>0</v>
      </c>
      <c r="BA24" s="314">
        <f>NLTable[[#This Row],[Implement]]*NLTable[[#This Row],[Est. Energy Cost Savings, $]]</f>
        <v>0</v>
      </c>
      <c r="BB24" s="314">
        <f>NLTable[[#This Row],[Implement]]*NLTable[[#This Row],[GHG Reduction, tCO2e/yr]]</f>
        <v>0</v>
      </c>
      <c r="BC24" s="314">
        <f>IFERROR(NLTable[[#This Row],[GHG Reduction]]*INDEX(NLIndexTable[Persistence],MATCH(NLTable[[#This Row],[Unique Name]],NLIndexTable[Unique Name],0)),0)</f>
        <v>0</v>
      </c>
      <c r="BD24" s="314">
        <f>NLTable[[#This Row],[Implement]]*NLTable[[#This Row],[Total Capital Cost, $]]</f>
        <v>0</v>
      </c>
      <c r="BE24" s="321" t="str">
        <f>""</f>
        <v/>
      </c>
      <c r="BF24" s="314" t="str">
        <f>IF(NLTable[[#This Row],[Selected for Implementation]]="Yes",IF(NLTable[[#This Row],[No]]="","",NLTable[[#This Row],[Unique Name]]),"")</f>
        <v/>
      </c>
      <c r="BG24" s="617"/>
      <c r="BH24" s="647"/>
    </row>
    <row r="25" spans="1:60" ht="24.65" customHeight="1" x14ac:dyDescent="0.3">
      <c r="A25" s="479"/>
      <c r="B25" s="482"/>
      <c r="C25" s="322"/>
      <c r="D25" s="224">
        <f t="shared" ref="D25:J25" si="13">D23</f>
        <v>0</v>
      </c>
      <c r="E25" s="224">
        <f t="shared" si="13"/>
        <v>0</v>
      </c>
      <c r="F25" s="224" t="str">
        <f t="shared" si="13"/>
        <v/>
      </c>
      <c r="G25" s="224">
        <f t="shared" si="13"/>
        <v>0</v>
      </c>
      <c r="H25" s="224" t="str">
        <f t="shared" si="13"/>
        <v>Mech_-</v>
      </c>
      <c r="I25" s="224" t="str">
        <f t="shared" si="13"/>
        <v/>
      </c>
      <c r="J25" s="225" t="str">
        <f t="shared" si="13"/>
        <v/>
      </c>
      <c r="K25" s="316">
        <v>3</v>
      </c>
      <c r="L25" s="317" t="str">
        <f>IFERROR(INDEX(NLBaselineParam[#Data],MATCH(NLTable[[#This Row],[Index]],NLBaselineParam[Var],0),MATCH(NLTable[[#This Row],[CalcMethod]],NLBaselineParam[#Headers],0)),"")</f>
        <v/>
      </c>
      <c r="M25" s="529"/>
      <c r="N25" s="318" t="str">
        <f>IFERROR(INDEX(NLProposedParam[#Data],MATCH(NLTable[[#This Row],[Index]],NLProposedParam[Var],0),MATCH(NLTable[[#This Row],[CalcMethod]],NLProposedParam[#Headers],0)),"")</f>
        <v/>
      </c>
      <c r="O25" s="529"/>
      <c r="P25" s="319"/>
      <c r="Q25" s="319"/>
      <c r="R25" s="319"/>
      <c r="S25" s="319"/>
      <c r="T25" s="319"/>
      <c r="U25" s="319"/>
      <c r="V25" s="320"/>
      <c r="W25" s="320"/>
      <c r="X25" s="320"/>
      <c r="Y25" s="320"/>
      <c r="Z25" s="320"/>
      <c r="AA25" s="320"/>
      <c r="AB25" s="320"/>
      <c r="AC25" s="320"/>
      <c r="AD25" s="320"/>
      <c r="AE25" s="320"/>
      <c r="AF25" s="320"/>
      <c r="AG25" s="320"/>
      <c r="AH25" s="320"/>
      <c r="AI25" s="320"/>
      <c r="AJ25" s="320"/>
      <c r="AK25" s="320"/>
      <c r="AL25" s="320"/>
      <c r="AM25" s="320"/>
      <c r="AN25" s="224"/>
      <c r="AO25" s="224"/>
      <c r="AP25" s="224"/>
      <c r="AQ25" s="224"/>
      <c r="AR25" s="224"/>
      <c r="AS25" s="224"/>
      <c r="AT25" s="224"/>
      <c r="AU25" s="226"/>
      <c r="AV25" s="314">
        <f>IF(NLTable[[#This Row],[Selected for Implementation]]="Yes",1,0)</f>
        <v>0</v>
      </c>
      <c r="AW25" s="314">
        <f>NLTable[[#This Row],[Implement]]*NLTable[[#This Row],[Total Rebate]]</f>
        <v>0</v>
      </c>
      <c r="AX25" s="314">
        <f>NLTable[[#This Row],[Implement]]*NLTable[[#This Row],[Electric Savings, kWh/yr]]</f>
        <v>0</v>
      </c>
      <c r="AY25" s="314">
        <f>NLTable[[#This Row],[Implement]]*NLTable[[#This Row],[Peak Demand Savings, kW]]</f>
        <v>0</v>
      </c>
      <c r="AZ25" s="314">
        <f>NLTable[[#This Row],[Implement]]*NLTable[[#This Row],[Nat. Gas Savings, GJ/yr]]</f>
        <v>0</v>
      </c>
      <c r="BA25" s="314">
        <f>NLTable[[#This Row],[Implement]]*NLTable[[#This Row],[Est. Energy Cost Savings, $]]</f>
        <v>0</v>
      </c>
      <c r="BB25" s="314">
        <f>NLTable[[#This Row],[Implement]]*NLTable[[#This Row],[GHG Reduction, tCO2e/yr]]</f>
        <v>0</v>
      </c>
      <c r="BC25" s="314">
        <f>IFERROR(NLTable[[#This Row],[GHG Reduction]]*INDEX(NLIndexTable[Persistence],MATCH(NLTable[[#This Row],[Unique Name]],NLIndexTable[Unique Name],0)),0)</f>
        <v>0</v>
      </c>
      <c r="BD25" s="314">
        <f>NLTable[[#This Row],[Implement]]*NLTable[[#This Row],[Total Capital Cost, $]]</f>
        <v>0</v>
      </c>
      <c r="BE25" s="321" t="str">
        <f>""</f>
        <v/>
      </c>
      <c r="BF25" s="314" t="str">
        <f>IF(NLTable[[#This Row],[Selected for Implementation]]="Yes",IF(NLTable[[#This Row],[No]]="","",NLTable[[#This Row],[Unique Name]]),"")</f>
        <v/>
      </c>
      <c r="BG25" s="617"/>
      <c r="BH25" s="647"/>
    </row>
    <row r="26" spans="1:60" ht="24.65" customHeight="1" x14ac:dyDescent="0.3">
      <c r="A26" s="479"/>
      <c r="B26" s="482"/>
      <c r="C26" s="322"/>
      <c r="D26" s="224">
        <f t="shared" ref="D26:J26" si="14">D23</f>
        <v>0</v>
      </c>
      <c r="E26" s="224">
        <f t="shared" si="14"/>
        <v>0</v>
      </c>
      <c r="F26" s="224" t="str">
        <f t="shared" si="14"/>
        <v/>
      </c>
      <c r="G26" s="224">
        <f t="shared" si="14"/>
        <v>0</v>
      </c>
      <c r="H26" s="224" t="str">
        <f t="shared" si="14"/>
        <v>Mech_-</v>
      </c>
      <c r="I26" s="224" t="str">
        <f t="shared" si="14"/>
        <v/>
      </c>
      <c r="J26" s="225" t="str">
        <f t="shared" si="14"/>
        <v/>
      </c>
      <c r="K26" s="316">
        <v>4</v>
      </c>
      <c r="L26" s="317" t="str">
        <f>IFERROR(INDEX(NLBaselineParam[#Data],MATCH(NLTable[[#This Row],[Index]],NLBaselineParam[Var],0),MATCH(NLTable[[#This Row],[CalcMethod]],NLBaselineParam[#Headers],0)),"")</f>
        <v/>
      </c>
      <c r="M26" s="529"/>
      <c r="N26" s="318" t="str">
        <f>IFERROR(INDEX(NLProposedParam[#Data],MATCH(NLTable[[#This Row],[Index]],NLProposedParam[Var],0),MATCH(NLTable[[#This Row],[CalcMethod]],NLProposedParam[#Headers],0)),"")</f>
        <v/>
      </c>
      <c r="O26" s="529"/>
      <c r="P26" s="319"/>
      <c r="Q26" s="319"/>
      <c r="R26" s="319"/>
      <c r="S26" s="319"/>
      <c r="T26" s="319"/>
      <c r="U26" s="319"/>
      <c r="V26" s="320"/>
      <c r="W26" s="320"/>
      <c r="X26" s="320"/>
      <c r="Y26" s="320"/>
      <c r="Z26" s="320"/>
      <c r="AA26" s="320"/>
      <c r="AB26" s="320"/>
      <c r="AC26" s="320"/>
      <c r="AD26" s="320"/>
      <c r="AE26" s="320"/>
      <c r="AF26" s="320"/>
      <c r="AG26" s="320"/>
      <c r="AH26" s="320"/>
      <c r="AI26" s="320"/>
      <c r="AJ26" s="320"/>
      <c r="AK26" s="320"/>
      <c r="AL26" s="320"/>
      <c r="AM26" s="320"/>
      <c r="AN26" s="224"/>
      <c r="AO26" s="224"/>
      <c r="AP26" s="224"/>
      <c r="AQ26" s="224"/>
      <c r="AR26" s="224"/>
      <c r="AS26" s="224"/>
      <c r="AT26" s="224"/>
      <c r="AU26" s="226"/>
      <c r="AV26" s="314">
        <f>IF(NLTable[[#This Row],[Selected for Implementation]]="Yes",1,0)</f>
        <v>0</v>
      </c>
      <c r="AW26" s="314">
        <f>NLTable[[#This Row],[Implement]]*NLTable[[#This Row],[Total Rebate]]</f>
        <v>0</v>
      </c>
      <c r="AX26" s="314">
        <f>NLTable[[#This Row],[Implement]]*NLTable[[#This Row],[Electric Savings, kWh/yr]]</f>
        <v>0</v>
      </c>
      <c r="AY26" s="314">
        <f>NLTable[[#This Row],[Implement]]*NLTable[[#This Row],[Peak Demand Savings, kW]]</f>
        <v>0</v>
      </c>
      <c r="AZ26" s="314">
        <f>NLTable[[#This Row],[Implement]]*NLTable[[#This Row],[Nat. Gas Savings, GJ/yr]]</f>
        <v>0</v>
      </c>
      <c r="BA26" s="314">
        <f>NLTable[[#This Row],[Implement]]*NLTable[[#This Row],[Est. Energy Cost Savings, $]]</f>
        <v>0</v>
      </c>
      <c r="BB26" s="314">
        <f>NLTable[[#This Row],[Implement]]*NLTable[[#This Row],[GHG Reduction, tCO2e/yr]]</f>
        <v>0</v>
      </c>
      <c r="BC26" s="314">
        <f>IFERROR(NLTable[[#This Row],[GHG Reduction]]*INDEX(NLIndexTable[Persistence],MATCH(NLTable[[#This Row],[Unique Name]],NLIndexTable[Unique Name],0)),0)</f>
        <v>0</v>
      </c>
      <c r="BD26" s="314">
        <f>NLTable[[#This Row],[Implement]]*NLTable[[#This Row],[Total Capital Cost, $]]</f>
        <v>0</v>
      </c>
      <c r="BE26" s="321" t="str">
        <f>""</f>
        <v/>
      </c>
      <c r="BF26" s="314" t="str">
        <f>IF(NLTable[[#This Row],[Selected for Implementation]]="Yes",IF(NLTable[[#This Row],[No]]="","",NLTable[[#This Row],[Unique Name]]),"")</f>
        <v/>
      </c>
      <c r="BG26" s="617"/>
      <c r="BH26" s="647"/>
    </row>
    <row r="27" spans="1:60" s="230" customFormat="1" ht="24.65" customHeight="1" thickBot="1" x14ac:dyDescent="0.35">
      <c r="A27" s="479"/>
      <c r="B27" s="483"/>
      <c r="C27" s="323"/>
      <c r="D27" s="227">
        <f t="shared" ref="D27:J27" si="15">D23</f>
        <v>0</v>
      </c>
      <c r="E27" s="227">
        <f t="shared" si="15"/>
        <v>0</v>
      </c>
      <c r="F27" s="227" t="str">
        <f t="shared" si="15"/>
        <v/>
      </c>
      <c r="G27" s="227">
        <f t="shared" si="15"/>
        <v>0</v>
      </c>
      <c r="H27" s="227" t="str">
        <f t="shared" si="15"/>
        <v>Mech_-</v>
      </c>
      <c r="I27" s="227" t="str">
        <f t="shared" si="15"/>
        <v/>
      </c>
      <c r="J27" s="228" t="str">
        <f t="shared" si="15"/>
        <v/>
      </c>
      <c r="K27" s="324">
        <v>5</v>
      </c>
      <c r="L27" s="325" t="str">
        <f>IFERROR(INDEX(NLBaselineParam[#Data],MATCH(NLTable[[#This Row],[Index]],NLBaselineParam[Var],0),MATCH(NLTable[[#This Row],[CalcMethod]],NLBaselineParam[#Headers],0)),"")</f>
        <v/>
      </c>
      <c r="M27" s="530"/>
      <c r="N27" s="326" t="str">
        <f>IFERROR(INDEX(NLProposedParam[#Data],MATCH(NLTable[[#This Row],[Index]],NLProposedParam[Var],0),MATCH(NLTable[[#This Row],[CalcMethod]],NLProposedParam[#Headers],0)),"")</f>
        <v/>
      </c>
      <c r="O27" s="530"/>
      <c r="P27" s="327"/>
      <c r="Q27" s="327"/>
      <c r="R27" s="327"/>
      <c r="S27" s="327"/>
      <c r="T27" s="327"/>
      <c r="U27" s="327"/>
      <c r="V27" s="328"/>
      <c r="W27" s="328"/>
      <c r="X27" s="328"/>
      <c r="Y27" s="328"/>
      <c r="Z27" s="328"/>
      <c r="AA27" s="328"/>
      <c r="AB27" s="328"/>
      <c r="AC27" s="328"/>
      <c r="AD27" s="328"/>
      <c r="AE27" s="328"/>
      <c r="AF27" s="328"/>
      <c r="AG27" s="328"/>
      <c r="AH27" s="328"/>
      <c r="AI27" s="328"/>
      <c r="AJ27" s="328"/>
      <c r="AK27" s="328"/>
      <c r="AL27" s="328"/>
      <c r="AM27" s="328"/>
      <c r="AN27" s="227"/>
      <c r="AO27" s="227"/>
      <c r="AP27" s="227"/>
      <c r="AQ27" s="227"/>
      <c r="AR27" s="227"/>
      <c r="AS27" s="227"/>
      <c r="AT27" s="227"/>
      <c r="AU27" s="229"/>
      <c r="AV27" s="314">
        <f>IF(NLTable[[#This Row],[Selected for Implementation]]="Yes",1,0)</f>
        <v>0</v>
      </c>
      <c r="AW27" s="314">
        <f>NLTable[[#This Row],[Implement]]*NLTable[[#This Row],[Total Rebate]]</f>
        <v>0</v>
      </c>
      <c r="AX27" s="314">
        <f>NLTable[[#This Row],[Implement]]*NLTable[[#This Row],[Electric Savings, kWh/yr]]</f>
        <v>0</v>
      </c>
      <c r="AY27" s="314">
        <f>NLTable[[#This Row],[Implement]]*NLTable[[#This Row],[Peak Demand Savings, kW]]</f>
        <v>0</v>
      </c>
      <c r="AZ27" s="314">
        <f>NLTable[[#This Row],[Implement]]*NLTable[[#This Row],[Nat. Gas Savings, GJ/yr]]</f>
        <v>0</v>
      </c>
      <c r="BA27" s="314">
        <f>NLTable[[#This Row],[Implement]]*NLTable[[#This Row],[Est. Energy Cost Savings, $]]</f>
        <v>0</v>
      </c>
      <c r="BB27" s="314">
        <f>NLTable[[#This Row],[Implement]]*NLTable[[#This Row],[GHG Reduction, tCO2e/yr]]</f>
        <v>0</v>
      </c>
      <c r="BC27" s="314">
        <f>IFERROR(NLTable[[#This Row],[GHG Reduction]]*INDEX(NLIndexTable[Persistence],MATCH(NLTable[[#This Row],[Unique Name]],NLIndexTable[Unique Name],0)),0)</f>
        <v>0</v>
      </c>
      <c r="BD27" s="314">
        <f>NLTable[[#This Row],[Implement]]*NLTable[[#This Row],[Total Capital Cost, $]]</f>
        <v>0</v>
      </c>
      <c r="BE27" s="321" t="str">
        <f>""</f>
        <v/>
      </c>
      <c r="BF27" s="314" t="str">
        <f>IF(NLTable[[#This Row],[Selected for Implementation]]="Yes",IF(NLTable[[#This Row],[No]]="","",NLTable[[#This Row],[Unique Name]]),"")</f>
        <v/>
      </c>
      <c r="BG27" s="617"/>
      <c r="BH27" s="648"/>
    </row>
    <row r="28" spans="1:60" s="220" customFormat="1" ht="24.65" customHeight="1" x14ac:dyDescent="0.3">
      <c r="A28" s="479"/>
      <c r="B28" s="480" t="str">
        <f>IF(NLTable[[#This Row],[Baseline equipment energy source (or heating source for envelope measures)]]="","","NL-"&amp;(ROW(B28)-3)/5)</f>
        <v/>
      </c>
      <c r="C28" s="48"/>
      <c r="D28" s="48"/>
      <c r="E28" s="48"/>
      <c r="F28" s="303" t="str">
        <f>IF(ISBLANK(NLTable[[#This Row],[Baseline equipment energy source (or heating source for envelope measures)]]),"",IF(NLTable[[#This Row],[Baseline equipment energy source (or heating source for envelope measures)]]="Electricity", "EE", "LCE"))</f>
        <v/>
      </c>
      <c r="G28" s="49"/>
      <c r="H28" s="219" t="str">
        <f>"Mech_"&amp;NLTable[[#This Row],[Measure Type (Energy Efficiency or Low Carbon Electrification)]]&amp;"-"&amp;NLTable[[#This Row],[Energy Measure]]</f>
        <v>Mech_-</v>
      </c>
      <c r="I28" s="304" t="str">
        <f>IF(NLTable[[#This Row],[End-Use]]="","",INDEX(NLIndexTable[CalcMethod],MATCH(NLTable[[#This Row],[Energy Measure]],NLIndexTable[BCH Rerofit Technology],0)))</f>
        <v/>
      </c>
      <c r="J28" s="305" t="str">
        <f>IFERROR(INDEX(NLIndexTable[BC Hydro pu],MATCH(NLTable[[#This Row],[Unique Name]],NLIndexTable[Unique Name],0)),"")</f>
        <v/>
      </c>
      <c r="K28" s="306">
        <v>1</v>
      </c>
      <c r="L28" s="307" t="str">
        <f>IFERROR(INDEX(NLBaselineParam[#Data],MATCH(NLTable[[#This Row],[Index]],NLBaselineParam[Var],0),MATCH(NLTable[[#This Row],[CalcMethod]],NLBaselineParam[#Headers],0)),"")</f>
        <v/>
      </c>
      <c r="M28" s="528"/>
      <c r="N28" s="308" t="str">
        <f>IFERROR(INDEX(NLProposedParam[#Data],MATCH(NLTable[[#This Row],[Index]],NLProposedParam[Var],0),MATCH(NLTable[[#This Row],[CalcMethod]],NLProposedParam[#Headers],0)),"")</f>
        <v/>
      </c>
      <c r="O28" s="528"/>
      <c r="P28" s="309" t="str">
        <f>IF(NLTable[[#This Row],[CalcMethod]]="DHW",IF(NLTable[[#This Row],[Rebate Unit]]="per unit",M29*INDEX(NLIndexTable[BC Hydro Rebate],MATCH(NLTable[[#This Row],[Unique Name]],NLIndexTable[Unique Name],0)),M28*INDEX(NLIndexTable[BC Hydro Rebate],MATCH(NLTable[[#This Row],[Unique Name]],NLIndexTable[Unique Name],0))),"")</f>
        <v/>
      </c>
      <c r="Q28" s="309" t="str">
        <f>IF(NLTable[[#This Row],[CalcMethod]]="Windows",MIN(INDEX(NLIndexTable[BC Hydro Rebate],MATCH(NLTable[[#This Row],[Unique Name]],NLIndexTable[Unique Name],0))*O29,NLTable[[#This Row],[Retrofit Values]]*1200),IF(NLTable[[#This Row],[CalcMethod]]="Envelope",INDEX(NLIndexTable[BC Hydro Rebate],MATCH(NLTable[[#This Row],[Unique Name]],NLIndexTable[Unique Name],0))*O29,""))</f>
        <v/>
      </c>
      <c r="R28" s="309" t="str">
        <f>IF(NLTable[[#This Row],[End-Use]]="HVAC",IF(NLTable[[#This Row],[CalcMethod]]="HVAC-MUA",O29*INDEX(NLIndexTable[BC Hydro Rebate],MATCH(NLTable[[#This Row],[Unique Name]],NLIndexTable[Unique Name],0)),O28*INDEX(NLIndexTable[BC Hydro Rebate],MATCH(NLTable[[#This Row],[Unique Name]],NLIndexTable[Unique Name],0))),"")</f>
        <v/>
      </c>
      <c r="S28" s="309" t="str">
        <f>IF(NLTable[[#This Row],[Measure Type (Energy Efficiency or Low Carbon Electrification)]]="EE",IF(NLTable[[#This Row],[CalcMethod]]="Commercial Kitchen",O28*INDEX(NLIndexTable[BC Hydro Rebate],MATCH(NLTable[[#This Row],[Unique Name]],NLIndexTable[Unique Name],0)),""),"")</f>
        <v/>
      </c>
      <c r="T28" s="309" t="str">
        <f>IF(NLTable[[#This Row],[CalcMethod]]="Mechanical",IF(NLTable[[#This Row],[Rebate Unit]]="per unit",M29*INDEX(NLIndexTable[BC Hydro Rebate],MATCH(NLTable[[#This Row],[Unique Name]],NLIndexTable[Unique Name],0)),M29*M28*INDEX(NLIndexTable[BC Hydro Rebate],MATCH(NLTable[[#This Row],[Unique Name]],NLIndexTable[Unique Name],0))),"")</f>
        <v/>
      </c>
      <c r="U28" s="309" t="str">
        <f>IF(NLTable[[#This Row],[CalcMethod]]="Refrigeration",O28*INDEX(NLIndexTable[BC Hydro Rebate],MATCH(NLTable[[#This Row],[Unique Name]],NLIndexTable[Unique Name],0)),"")</f>
        <v/>
      </c>
      <c r="V28" s="310" t="str">
        <f>IF(NLTable[[#This Row],[CalcMethod]]="DHW",INDEX(NLIndexTable[Elec Savings kWh],MATCH(NLTable[[#This Row],[Unique Name]],NLIndexTable[Unique Name],0))*M28,"")</f>
        <v/>
      </c>
      <c r="W28" s="310" t="str">
        <f>IF(NLTable[[#This Row],[CalcMethod]]="DHW",INDEX(NLIndexTable[kW Savings],MATCH(NLTable[[#This Row],[Unique Name]],NLIndexTable[Unique Name],0))*M28,"")</f>
        <v/>
      </c>
      <c r="X28" s="310" t="str">
        <f>IF(NLTable[[#This Row],[CalcMethod]]="DHW",INDEX(NLIndexTable[Gas Savings kWh],MATCH(NLTable[[#This Row],[Unique Name]],NLIndexTable[Unique Name],0))*M28/277.78,"")</f>
        <v/>
      </c>
      <c r="Y28" s="310" t="str">
        <f>IF(NLTable[[#This Row],[CalcMethod]]="Envelope",INDEX(NLIndexTable[Elec Savings kWh],MATCH(NLTable[[#This Row],[Unique Name]],NLIndexTable[Unique Name],0))*M28/100,IF(NLTable[[#This Row],[CalcMethod]]="Windows",INDEX(NLIndexTable[Elec Savings kWh],MATCH(NLTable[[#This Row],[Unique Name]],NLIndexTable[Unique Name],0))*M28/100,""))</f>
        <v/>
      </c>
      <c r="Z28" s="310"/>
      <c r="AA28" s="310"/>
      <c r="AB28" s="310" t="str">
        <f>IF(OR(NLTable[[#This Row],[CalcMethod]]="HVAC-HP-Heads",NLTable[[#This Row],[CalcMethod]]="HVAC-HP-Suite",NLTable[[#This Row],[CalcMethod]]="HVAC-HP-Tons",NLTable[[#This Row],[CalcMethod]]="HVAC-PTHP",NLTable[[#This Row],[CalcMethod]]="HVAC-MUA"),INDEX(NLIndexTable[Elec Savings kWh],MATCH(NLTable[[#This Row],[Unique Name]],NLIndexTable[Unique Name],0))*M28*'Project Info'!$C$69*IF(NLTable[[#This Row],[CalcMethod]]="HVAC-MUA",1,MIN(O29*'Project Info'!$H$118/(NLTable[[#This Row],[Baseline Values]]*'Project Info'!$C$69*'Project Info'!$D$97*3.41/1000),1)),"")</f>
        <v/>
      </c>
      <c r="AC28" s="310" t="str">
        <f>IF(OR(NLTable[[#This Row],[CalcMethod]]="HVAC-HP-Heads",NLTable[[#This Row],[CalcMethod]]="HVAC-HP-Suite",NLTable[[#This Row],[CalcMethod]]="HVAC-HP-Tons",NLTable[[#This Row],[CalcMethod]]="HVAC-PTHP",NLTable[[#This Row],[CalcMethod]]="HVAC-MUA"),INDEX(NLIndexTable[kW Savings],MATCH(NLTable[[#This Row],[Unique Name]],NLIndexTable[Unique Name],0))*M28*'Project Info'!$C$69*IF(NLTable[[#This Row],[CalcMethod]]="HVAC-MUA",1,MIN(O29*'Project Info'!$H$118/(NLTable[[#This Row],[Baseline Values]]*'Project Info'!$C$69*'Project Info'!$D$97*3.41/1000),1)),"")</f>
        <v/>
      </c>
      <c r="AD28" s="310"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Name],0))*M28*'Project Info'!$C$69*IF(NLTable[[#This Row],[CalcMethod]]="HVAC-MUA",1,MIN(O29*'Project Info'!$H$118/(NLTable[[#This Row],[Baseline Values]]*'Project Info'!$C$69*'Project Info'!$D$97*3.41/1000),1))/277.78,"")</f>
        <v/>
      </c>
      <c r="AE28" s="310" t="str">
        <f>IF(NLTable[[#This Row],[CalcMethod]]="Commercial Kitchen",INDEX(NLIndexTable[Elec Savings kWh],MATCH(NLTable[[#This Row],[Unique Name]],NLIndexTable[Unique Name],0))*O28,"")</f>
        <v/>
      </c>
      <c r="AF28" s="310" t="str">
        <f>IF(NLTable[[#This Row],[CalcMethod]]="Commercial Kitchen",IF(NLTable[[#This Row],[Measure Type (Energy Efficiency or Low Carbon Electrification)]]="LCE",-1*O29*NLTable[[#This Row],[Retrofit Values]],NLTable[[#This Row],[Baseline Values]]*M29-NLTable[[#This Row],[Retrofit Values]]*O29),"")</f>
        <v/>
      </c>
      <c r="AG28" s="310" t="str">
        <f>IF(NLTable[[#This Row],[CalcMethod]]="Commercial Kitchen",INDEX(NLIndexTable[Gas Savings kWh],MATCH(NLTable[[#This Row],[Unique Name]],NLIndexTable[Unique Name],0))*O28,"")</f>
        <v/>
      </c>
      <c r="AH28" s="310" t="str">
        <f>IF(NLTable[[#This Row],[CalcMethod]]="Mechanical",IF(NLTable[[#This Row],[Unique Name]]="Mech_EE-Parkade CO - HVAC Controls",NLTable[[#This Row],[Baseline Values]]*0.7457*M29*(M30-O28),(NLTable[[#This Row],[Baseline Values]]*M29*0.7457*M30)-(NLTable[[#This Row],[Baseline Values]]*M29*0.7457*0.75^2.5*O28)),"")</f>
        <v/>
      </c>
      <c r="AI28" s="310"/>
      <c r="AJ28" s="310"/>
      <c r="AK28" s="310" t="str">
        <f>IF(OR(NLTable[[#This Row],[CalcMethod]]="Refrigeration",NLTable[[#This Row],[CalcMethod]]="Refrig-cases"),INDEX(NLIndexTable[Elec Savings kWh],MATCH(NLTable[[#This Row],[Unique Name]],NLIndexTable[Unique Name],0))*O28,"")</f>
        <v/>
      </c>
      <c r="AL28" s="310" t="str">
        <f>IF(NLTable[[#This Row],[CalcMethod]]="Refrigeration",NLTable[[#This Row],[Baseline Values]]*M29-NLTable[[#This Row],[Retrofit Values]]*O29,"")</f>
        <v/>
      </c>
      <c r="AM28" s="310"/>
      <c r="AN28" s="311">
        <f>MIN(SUM(NLTable[[#This Row],[DHW]:[Refrig]]),NLTable[[#This Row],[Total Capital Cost, $]])</f>
        <v>0</v>
      </c>
      <c r="AO28" s="312">
        <f>SUM(NLTable[[#This Row],[DHW-kWh]],NLTable[[#This Row],[Env-kWH]],NLTable[[#This Row],[HVAC-kWH]],NLTable[[#This Row],[CK-kWH]],NLTable[[#This Row],[Mech-kWh]],NLTable[[#This Row],[Refg-kWh]])</f>
        <v>0</v>
      </c>
      <c r="AP28" s="312">
        <f>SUM(NLTable[[#This Row],[DHW-kW]],NLTable[[#This Row],[Env-kW]],NLTable[[#This Row],[HVAC-kW]],NLTable[[#This Row],[CK-kW]],NLTable[[#This Row],[Mech-kW]],NLTable[[#This Row],[Refg-kW]])</f>
        <v>0</v>
      </c>
      <c r="AQ28" s="312">
        <f>SUM(NLTable[[#This Row],[DHW-GJ]],NLTable[[#This Row],[Env-GJ]],NLTable[[#This Row],[HVAC-GJ]],NLTable[[#This Row],[CK-GJ]],NLTable[[#This Row],[Mech-GJ]],NLTable[[#This Row],[Refg-GJ]])</f>
        <v>0</v>
      </c>
      <c r="AR28" s="311" t="e">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#N/A</v>
      </c>
      <c r="AS28" s="312">
        <f>NLTable[[#This Row],[Nat. Gas Savings, GJ/yr]]*50/1000</f>
        <v>0</v>
      </c>
      <c r="AT28" s="312" cm="1">
        <f t="array" ref="AT28">SUM(IF(N28:N32="Total Capital Cost ($)",O28:O32,0))</f>
        <v>0</v>
      </c>
      <c r="AU28" s="313" t="str">
        <f>IFERROR(IF((NLTable[[#This Row],[Total Capital Cost, $]]-NLTable[[#This Row],[Total Rebate]])/NLTable[[#This Row],[Est. Energy Cost Savings, $]]&gt;0,(NLTable[[#This Row],[Total Capital Cost, $]]-NLTable[[#This Row],[Total Rebate]])/NLTable[[#This Row],[Est. Energy Cost Savings, $]],"No Payback"),"")</f>
        <v/>
      </c>
      <c r="AV28" s="314">
        <f>IF(NLTable[[#This Row],[Selected for Implementation]]="Yes",1,0)</f>
        <v>0</v>
      </c>
      <c r="AW28" s="314">
        <f>NLTable[[#This Row],[Implement]]*NLTable[[#This Row],[Total Rebate]]</f>
        <v>0</v>
      </c>
      <c r="AX28" s="314">
        <f>NLTable[[#This Row],[Implement]]*NLTable[[#This Row],[Electric Savings, kWh/yr]]</f>
        <v>0</v>
      </c>
      <c r="AY28" s="314">
        <f>NLTable[[#This Row],[Implement]]*NLTable[[#This Row],[Peak Demand Savings, kW]]</f>
        <v>0</v>
      </c>
      <c r="AZ28" s="314">
        <f>NLTable[[#This Row],[Implement]]*NLTable[[#This Row],[Nat. Gas Savings, GJ/yr]]</f>
        <v>0</v>
      </c>
      <c r="BA28" s="314" t="e">
        <f>NLTable[[#This Row],[Implement]]*NLTable[[#This Row],[Est. Energy Cost Savings, $]]</f>
        <v>#N/A</v>
      </c>
      <c r="BB28" s="314">
        <f>NLTable[[#This Row],[Implement]]*NLTable[[#This Row],[GHG Reduction, tCO2e/yr]]</f>
        <v>0</v>
      </c>
      <c r="BC28" s="314">
        <f>IFERROR(NLTable[[#This Row],[GHG Reduction]]*INDEX(NLIndexTable[Persistence],MATCH(NLTable[[#This Row],[Unique Name]],NLIndexTable[Unique Name],0)),0)</f>
        <v>0</v>
      </c>
      <c r="BD28" s="314">
        <f>NLTable[[#This Row],[Implement]]*NLTable[[#This Row],[Total Capital Cost, $]]</f>
        <v>0</v>
      </c>
      <c r="BE28" s="314" t="str">
        <f>IFERROR(INDEX(NLIndexTable[Equivalent xRM ECM],MATCH(NLTable[[#This Row],[Concatenate]],NLIndexTable[Unique Name],0)),"")</f>
        <v/>
      </c>
      <c r="BF28" s="314" t="str">
        <f>IF(NLTable[[#This Row],[Selected for Implementation]]="Yes",IF(NLTable[[#This Row],[No]]="","",NLTable[[#This Row],[Unique Name]]),"")</f>
        <v/>
      </c>
      <c r="BG28" s="617" cm="1">
        <f t="array" ref="BG28">IFERROR(IF(NLTable[[#This Row],[Implement]],SUM(IF(N28:N32="Total Area of Glazing Installed (ft2)",O28:O32,0)),0),0)</f>
        <v>0</v>
      </c>
      <c r="BH28" s="646"/>
    </row>
    <row r="29" spans="1:60" ht="24.65" customHeight="1" x14ac:dyDescent="0.3">
      <c r="A29" s="479"/>
      <c r="B29" s="481"/>
      <c r="C29" s="315"/>
      <c r="D29" s="221">
        <f t="shared" ref="D29:J29" si="16">D28</f>
        <v>0</v>
      </c>
      <c r="E29" s="221">
        <f t="shared" si="16"/>
        <v>0</v>
      </c>
      <c r="F29" s="221" t="str">
        <f t="shared" si="16"/>
        <v/>
      </c>
      <c r="G29" s="221">
        <f t="shared" si="16"/>
        <v>0</v>
      </c>
      <c r="H29" s="221" t="str">
        <f t="shared" si="16"/>
        <v>Mech_-</v>
      </c>
      <c r="I29" s="221" t="str">
        <f t="shared" si="16"/>
        <v/>
      </c>
      <c r="J29" s="222" t="str">
        <f t="shared" si="16"/>
        <v/>
      </c>
      <c r="K29" s="316">
        <v>2</v>
      </c>
      <c r="L29" s="317" t="str">
        <f>IFERROR(INDEX(NLBaselineParam[#Data],MATCH(NLTable[[#This Row],[Index]],NLBaselineParam[Var],0),MATCH(NLTable[[#This Row],[CalcMethod]],NLBaselineParam[#Headers],0)),"")</f>
        <v/>
      </c>
      <c r="M29" s="529"/>
      <c r="N29" s="318" t="str">
        <f>IFERROR(INDEX(NLProposedParam[#Data],MATCH(NLTable[[#This Row],[Index]],NLProposedParam[Var],0),MATCH(NLTable[[#This Row],[CalcMethod]],NLProposedParam[#Headers],0)),"")</f>
        <v/>
      </c>
      <c r="O29" s="529"/>
      <c r="P29" s="319"/>
      <c r="Q29" s="319"/>
      <c r="R29" s="319"/>
      <c r="S29" s="319"/>
      <c r="T29" s="319"/>
      <c r="U29" s="319"/>
      <c r="V29" s="320"/>
      <c r="W29" s="320"/>
      <c r="X29" s="320"/>
      <c r="Y29" s="320"/>
      <c r="Z29" s="320"/>
      <c r="AA29" s="320"/>
      <c r="AB29" s="320"/>
      <c r="AC29" s="320"/>
      <c r="AD29" s="320"/>
      <c r="AE29" s="320"/>
      <c r="AF29" s="320"/>
      <c r="AG29" s="320"/>
      <c r="AH29" s="320"/>
      <c r="AI29" s="320"/>
      <c r="AJ29" s="320"/>
      <c r="AK29" s="320"/>
      <c r="AL29" s="320"/>
      <c r="AM29" s="320"/>
      <c r="AN29" s="221"/>
      <c r="AO29" s="221"/>
      <c r="AP29" s="221"/>
      <c r="AQ29" s="221"/>
      <c r="AR29" s="221"/>
      <c r="AS29" s="221"/>
      <c r="AT29" s="221"/>
      <c r="AU29" s="223"/>
      <c r="AV29" s="314">
        <f>IF(NLTable[[#This Row],[Selected for Implementation]]="Yes",1,0)</f>
        <v>0</v>
      </c>
      <c r="AW29" s="314">
        <f>NLTable[[#This Row],[Implement]]*NLTable[[#This Row],[Total Rebate]]</f>
        <v>0</v>
      </c>
      <c r="AX29" s="314">
        <f>NLTable[[#This Row],[Implement]]*NLTable[[#This Row],[Electric Savings, kWh/yr]]</f>
        <v>0</v>
      </c>
      <c r="AY29" s="314">
        <f>NLTable[[#This Row],[Implement]]*NLTable[[#This Row],[Peak Demand Savings, kW]]</f>
        <v>0</v>
      </c>
      <c r="AZ29" s="314">
        <f>NLTable[[#This Row],[Implement]]*NLTable[[#This Row],[Nat. Gas Savings, GJ/yr]]</f>
        <v>0</v>
      </c>
      <c r="BA29" s="314">
        <f>NLTable[[#This Row],[Implement]]*NLTable[[#This Row],[Est. Energy Cost Savings, $]]</f>
        <v>0</v>
      </c>
      <c r="BB29" s="314">
        <f>NLTable[[#This Row],[Implement]]*NLTable[[#This Row],[GHG Reduction, tCO2e/yr]]</f>
        <v>0</v>
      </c>
      <c r="BC29" s="314">
        <f>IFERROR(NLTable[[#This Row],[GHG Reduction]]*INDEX(NLIndexTable[Persistence],MATCH(NLTable[[#This Row],[Unique Name]],NLIndexTable[Unique Name],0)),0)</f>
        <v>0</v>
      </c>
      <c r="BD29" s="314">
        <f>NLTable[[#This Row],[Implement]]*NLTable[[#This Row],[Total Capital Cost, $]]</f>
        <v>0</v>
      </c>
      <c r="BE29" s="321" t="str">
        <f>""</f>
        <v/>
      </c>
      <c r="BF29" s="314" t="str">
        <f>IF(NLTable[[#This Row],[Selected for Implementation]]="Yes",IF(NLTable[[#This Row],[No]]="","",NLTable[[#This Row],[Unique Name]]),"")</f>
        <v/>
      </c>
      <c r="BG29" s="617"/>
      <c r="BH29" s="647"/>
    </row>
    <row r="30" spans="1:60" ht="24.65" customHeight="1" x14ac:dyDescent="0.3">
      <c r="A30" s="479"/>
      <c r="B30" s="482"/>
      <c r="C30" s="322"/>
      <c r="D30" s="224">
        <f t="shared" ref="D30:J30" si="17">D28</f>
        <v>0</v>
      </c>
      <c r="E30" s="224">
        <f t="shared" si="17"/>
        <v>0</v>
      </c>
      <c r="F30" s="224" t="str">
        <f t="shared" si="17"/>
        <v/>
      </c>
      <c r="G30" s="224">
        <f t="shared" si="17"/>
        <v>0</v>
      </c>
      <c r="H30" s="224" t="str">
        <f t="shared" si="17"/>
        <v>Mech_-</v>
      </c>
      <c r="I30" s="224" t="str">
        <f t="shared" si="17"/>
        <v/>
      </c>
      <c r="J30" s="225" t="str">
        <f t="shared" si="17"/>
        <v/>
      </c>
      <c r="K30" s="316">
        <v>3</v>
      </c>
      <c r="L30" s="317" t="str">
        <f>IFERROR(INDEX(NLBaselineParam[#Data],MATCH(NLTable[[#This Row],[Index]],NLBaselineParam[Var],0),MATCH(NLTable[[#This Row],[CalcMethod]],NLBaselineParam[#Headers],0)),"")</f>
        <v/>
      </c>
      <c r="M30" s="529"/>
      <c r="N30" s="318" t="str">
        <f>IFERROR(INDEX(NLProposedParam[#Data],MATCH(NLTable[[#This Row],[Index]],NLProposedParam[Var],0),MATCH(NLTable[[#This Row],[CalcMethod]],NLProposedParam[#Headers],0)),"")</f>
        <v/>
      </c>
      <c r="O30" s="529"/>
      <c r="P30" s="319"/>
      <c r="Q30" s="319"/>
      <c r="R30" s="319"/>
      <c r="S30" s="319"/>
      <c r="T30" s="319"/>
      <c r="U30" s="319"/>
      <c r="V30" s="320"/>
      <c r="W30" s="320"/>
      <c r="X30" s="320"/>
      <c r="Y30" s="320"/>
      <c r="Z30" s="320"/>
      <c r="AA30" s="320"/>
      <c r="AB30" s="320"/>
      <c r="AC30" s="320"/>
      <c r="AD30" s="320"/>
      <c r="AE30" s="320"/>
      <c r="AF30" s="320"/>
      <c r="AG30" s="320"/>
      <c r="AH30" s="320"/>
      <c r="AI30" s="320"/>
      <c r="AJ30" s="320"/>
      <c r="AK30" s="320"/>
      <c r="AL30" s="320"/>
      <c r="AM30" s="320"/>
      <c r="AN30" s="224"/>
      <c r="AO30" s="224"/>
      <c r="AP30" s="224"/>
      <c r="AQ30" s="224"/>
      <c r="AR30" s="224"/>
      <c r="AS30" s="224"/>
      <c r="AT30" s="224"/>
      <c r="AU30" s="226"/>
      <c r="AV30" s="314">
        <f>IF(NLTable[[#This Row],[Selected for Implementation]]="Yes",1,0)</f>
        <v>0</v>
      </c>
      <c r="AW30" s="314">
        <f>NLTable[[#This Row],[Implement]]*NLTable[[#This Row],[Total Rebate]]</f>
        <v>0</v>
      </c>
      <c r="AX30" s="314">
        <f>NLTable[[#This Row],[Implement]]*NLTable[[#This Row],[Electric Savings, kWh/yr]]</f>
        <v>0</v>
      </c>
      <c r="AY30" s="314">
        <f>NLTable[[#This Row],[Implement]]*NLTable[[#This Row],[Peak Demand Savings, kW]]</f>
        <v>0</v>
      </c>
      <c r="AZ30" s="314">
        <f>NLTable[[#This Row],[Implement]]*NLTable[[#This Row],[Nat. Gas Savings, GJ/yr]]</f>
        <v>0</v>
      </c>
      <c r="BA30" s="314">
        <f>NLTable[[#This Row],[Implement]]*NLTable[[#This Row],[Est. Energy Cost Savings, $]]</f>
        <v>0</v>
      </c>
      <c r="BB30" s="314">
        <f>NLTable[[#This Row],[Implement]]*NLTable[[#This Row],[GHG Reduction, tCO2e/yr]]</f>
        <v>0</v>
      </c>
      <c r="BC30" s="314">
        <f>IFERROR(NLTable[[#This Row],[GHG Reduction]]*INDEX(NLIndexTable[Persistence],MATCH(NLTable[[#This Row],[Unique Name]],NLIndexTable[Unique Name],0)),0)</f>
        <v>0</v>
      </c>
      <c r="BD30" s="314">
        <f>NLTable[[#This Row],[Implement]]*NLTable[[#This Row],[Total Capital Cost, $]]</f>
        <v>0</v>
      </c>
      <c r="BE30" s="321" t="str">
        <f>""</f>
        <v/>
      </c>
      <c r="BF30" s="314" t="str">
        <f>IF(NLTable[[#This Row],[Selected for Implementation]]="Yes",IF(NLTable[[#This Row],[No]]="","",NLTable[[#This Row],[Unique Name]]),"")</f>
        <v/>
      </c>
      <c r="BG30" s="617"/>
      <c r="BH30" s="647"/>
    </row>
    <row r="31" spans="1:60" ht="24.65" customHeight="1" x14ac:dyDescent="0.3">
      <c r="A31" s="479"/>
      <c r="B31" s="482"/>
      <c r="C31" s="322"/>
      <c r="D31" s="224">
        <f t="shared" ref="D31:J31" si="18">D28</f>
        <v>0</v>
      </c>
      <c r="E31" s="224">
        <f t="shared" si="18"/>
        <v>0</v>
      </c>
      <c r="F31" s="224" t="str">
        <f t="shared" si="18"/>
        <v/>
      </c>
      <c r="G31" s="224">
        <f t="shared" si="18"/>
        <v>0</v>
      </c>
      <c r="H31" s="224" t="str">
        <f t="shared" si="18"/>
        <v>Mech_-</v>
      </c>
      <c r="I31" s="224" t="str">
        <f t="shared" si="18"/>
        <v/>
      </c>
      <c r="J31" s="225" t="str">
        <f t="shared" si="18"/>
        <v/>
      </c>
      <c r="K31" s="316">
        <v>4</v>
      </c>
      <c r="L31" s="317" t="str">
        <f>IFERROR(INDEX(NLBaselineParam[#Data],MATCH(NLTable[[#This Row],[Index]],NLBaselineParam[Var],0),MATCH(NLTable[[#This Row],[CalcMethod]],NLBaselineParam[#Headers],0)),"")</f>
        <v/>
      </c>
      <c r="M31" s="529"/>
      <c r="N31" s="318" t="str">
        <f>IFERROR(INDEX(NLProposedParam[#Data],MATCH(NLTable[[#This Row],[Index]],NLProposedParam[Var],0),MATCH(NLTable[[#This Row],[CalcMethod]],NLProposedParam[#Headers],0)),"")</f>
        <v/>
      </c>
      <c r="O31" s="529"/>
      <c r="P31" s="319"/>
      <c r="Q31" s="319"/>
      <c r="R31" s="319"/>
      <c r="S31" s="319"/>
      <c r="T31" s="319"/>
      <c r="U31" s="319"/>
      <c r="V31" s="320"/>
      <c r="W31" s="320"/>
      <c r="X31" s="320"/>
      <c r="Y31" s="320"/>
      <c r="Z31" s="320"/>
      <c r="AA31" s="320"/>
      <c r="AB31" s="320"/>
      <c r="AC31" s="320"/>
      <c r="AD31" s="320"/>
      <c r="AE31" s="320"/>
      <c r="AF31" s="320"/>
      <c r="AG31" s="320"/>
      <c r="AH31" s="320"/>
      <c r="AI31" s="320"/>
      <c r="AJ31" s="320"/>
      <c r="AK31" s="320"/>
      <c r="AL31" s="320"/>
      <c r="AM31" s="320"/>
      <c r="AN31" s="224"/>
      <c r="AO31" s="224"/>
      <c r="AP31" s="224"/>
      <c r="AQ31" s="224"/>
      <c r="AR31" s="224"/>
      <c r="AS31" s="224"/>
      <c r="AT31" s="224"/>
      <c r="AU31" s="226"/>
      <c r="AV31" s="314">
        <f>IF(NLTable[[#This Row],[Selected for Implementation]]="Yes",1,0)</f>
        <v>0</v>
      </c>
      <c r="AW31" s="314">
        <f>NLTable[[#This Row],[Implement]]*NLTable[[#This Row],[Total Rebate]]</f>
        <v>0</v>
      </c>
      <c r="AX31" s="314">
        <f>NLTable[[#This Row],[Implement]]*NLTable[[#This Row],[Electric Savings, kWh/yr]]</f>
        <v>0</v>
      </c>
      <c r="AY31" s="314">
        <f>NLTable[[#This Row],[Implement]]*NLTable[[#This Row],[Peak Demand Savings, kW]]</f>
        <v>0</v>
      </c>
      <c r="AZ31" s="314">
        <f>NLTable[[#This Row],[Implement]]*NLTable[[#This Row],[Nat. Gas Savings, GJ/yr]]</f>
        <v>0</v>
      </c>
      <c r="BA31" s="314">
        <f>NLTable[[#This Row],[Implement]]*NLTable[[#This Row],[Est. Energy Cost Savings, $]]</f>
        <v>0</v>
      </c>
      <c r="BB31" s="314">
        <f>NLTable[[#This Row],[Implement]]*NLTable[[#This Row],[GHG Reduction, tCO2e/yr]]</f>
        <v>0</v>
      </c>
      <c r="BC31" s="314">
        <f>IFERROR(NLTable[[#This Row],[GHG Reduction]]*INDEX(NLIndexTable[Persistence],MATCH(NLTable[[#This Row],[Unique Name]],NLIndexTable[Unique Name],0)),0)</f>
        <v>0</v>
      </c>
      <c r="BD31" s="314">
        <f>NLTable[[#This Row],[Implement]]*NLTable[[#This Row],[Total Capital Cost, $]]</f>
        <v>0</v>
      </c>
      <c r="BE31" s="321" t="str">
        <f>""</f>
        <v/>
      </c>
      <c r="BF31" s="314" t="str">
        <f>IF(NLTable[[#This Row],[Selected for Implementation]]="Yes",IF(NLTable[[#This Row],[No]]="","",NLTable[[#This Row],[Unique Name]]),"")</f>
        <v/>
      </c>
      <c r="BG31" s="617"/>
      <c r="BH31" s="647"/>
    </row>
    <row r="32" spans="1:60" s="230" customFormat="1" ht="24.65" customHeight="1" thickBot="1" x14ac:dyDescent="0.35">
      <c r="A32" s="479"/>
      <c r="B32" s="483"/>
      <c r="C32" s="323"/>
      <c r="D32" s="227">
        <f t="shared" ref="D32:J32" si="19">D28</f>
        <v>0</v>
      </c>
      <c r="E32" s="227">
        <f t="shared" si="19"/>
        <v>0</v>
      </c>
      <c r="F32" s="227" t="str">
        <f t="shared" si="19"/>
        <v/>
      </c>
      <c r="G32" s="227">
        <f t="shared" si="19"/>
        <v>0</v>
      </c>
      <c r="H32" s="227" t="str">
        <f t="shared" si="19"/>
        <v>Mech_-</v>
      </c>
      <c r="I32" s="227" t="str">
        <f t="shared" si="19"/>
        <v/>
      </c>
      <c r="J32" s="228" t="str">
        <f t="shared" si="19"/>
        <v/>
      </c>
      <c r="K32" s="324">
        <v>5</v>
      </c>
      <c r="L32" s="325" t="str">
        <f>IFERROR(INDEX(NLBaselineParam[#Data],MATCH(NLTable[[#This Row],[Index]],NLBaselineParam[Var],0),MATCH(NLTable[[#This Row],[CalcMethod]],NLBaselineParam[#Headers],0)),"")</f>
        <v/>
      </c>
      <c r="M32" s="530"/>
      <c r="N32" s="326" t="str">
        <f>IFERROR(INDEX(NLProposedParam[#Data],MATCH(NLTable[[#This Row],[Index]],NLProposedParam[Var],0),MATCH(NLTable[[#This Row],[CalcMethod]],NLProposedParam[#Headers],0)),"")</f>
        <v/>
      </c>
      <c r="O32" s="530"/>
      <c r="P32" s="327"/>
      <c r="Q32" s="327"/>
      <c r="R32" s="327"/>
      <c r="S32" s="327"/>
      <c r="T32" s="327"/>
      <c r="U32" s="327"/>
      <c r="V32" s="328"/>
      <c r="W32" s="328"/>
      <c r="X32" s="328"/>
      <c r="Y32" s="328"/>
      <c r="Z32" s="328"/>
      <c r="AA32" s="328"/>
      <c r="AB32" s="328"/>
      <c r="AC32" s="328"/>
      <c r="AD32" s="328"/>
      <c r="AE32" s="328"/>
      <c r="AF32" s="328"/>
      <c r="AG32" s="328"/>
      <c r="AH32" s="328"/>
      <c r="AI32" s="328"/>
      <c r="AJ32" s="328"/>
      <c r="AK32" s="328"/>
      <c r="AL32" s="328"/>
      <c r="AM32" s="328"/>
      <c r="AN32" s="227"/>
      <c r="AO32" s="227"/>
      <c r="AP32" s="227"/>
      <c r="AQ32" s="227"/>
      <c r="AR32" s="227"/>
      <c r="AS32" s="227"/>
      <c r="AT32" s="227"/>
      <c r="AU32" s="229"/>
      <c r="AV32" s="314">
        <f>IF(NLTable[[#This Row],[Selected for Implementation]]="Yes",1,0)</f>
        <v>0</v>
      </c>
      <c r="AW32" s="314">
        <f>NLTable[[#This Row],[Implement]]*NLTable[[#This Row],[Total Rebate]]</f>
        <v>0</v>
      </c>
      <c r="AX32" s="314">
        <f>NLTable[[#This Row],[Implement]]*NLTable[[#This Row],[Electric Savings, kWh/yr]]</f>
        <v>0</v>
      </c>
      <c r="AY32" s="314">
        <f>NLTable[[#This Row],[Implement]]*NLTable[[#This Row],[Peak Demand Savings, kW]]</f>
        <v>0</v>
      </c>
      <c r="AZ32" s="314">
        <f>NLTable[[#This Row],[Implement]]*NLTable[[#This Row],[Nat. Gas Savings, GJ/yr]]</f>
        <v>0</v>
      </c>
      <c r="BA32" s="314">
        <f>NLTable[[#This Row],[Implement]]*NLTable[[#This Row],[Est. Energy Cost Savings, $]]</f>
        <v>0</v>
      </c>
      <c r="BB32" s="314">
        <f>NLTable[[#This Row],[Implement]]*NLTable[[#This Row],[GHG Reduction, tCO2e/yr]]</f>
        <v>0</v>
      </c>
      <c r="BC32" s="314">
        <f>IFERROR(NLTable[[#This Row],[GHG Reduction]]*INDEX(NLIndexTable[Persistence],MATCH(NLTable[[#This Row],[Unique Name]],NLIndexTable[Unique Name],0)),0)</f>
        <v>0</v>
      </c>
      <c r="BD32" s="314">
        <f>NLTable[[#This Row],[Implement]]*NLTable[[#This Row],[Total Capital Cost, $]]</f>
        <v>0</v>
      </c>
      <c r="BE32" s="321" t="str">
        <f>""</f>
        <v/>
      </c>
      <c r="BF32" s="314" t="str">
        <f>IF(NLTable[[#This Row],[Selected for Implementation]]="Yes",IF(NLTable[[#This Row],[No]]="","",NLTable[[#This Row],[Unique Name]]),"")</f>
        <v/>
      </c>
      <c r="BG32" s="617"/>
      <c r="BH32" s="648"/>
    </row>
    <row r="33" spans="1:60" s="220" customFormat="1" ht="24.65" customHeight="1" x14ac:dyDescent="0.3">
      <c r="A33" s="479"/>
      <c r="B33" s="480" t="str">
        <f>IF(NLTable[[#This Row],[Baseline equipment energy source (or heating source for envelope measures)]]="","","NL-"&amp;(ROW(B33)-3)/5)</f>
        <v/>
      </c>
      <c r="C33" s="48"/>
      <c r="D33" s="48"/>
      <c r="E33" s="48"/>
      <c r="F33" s="303" t="str">
        <f>IF(ISBLANK(NLTable[[#This Row],[Baseline equipment energy source (or heating source for envelope measures)]]),"",IF(NLTable[[#This Row],[Baseline equipment energy source (or heating source for envelope measures)]]="Electricity", "EE", "LCE"))</f>
        <v/>
      </c>
      <c r="G33" s="49"/>
      <c r="H33" s="219" t="str">
        <f>"Mech_"&amp;NLTable[[#This Row],[Measure Type (Energy Efficiency or Low Carbon Electrification)]]&amp;"-"&amp;NLTable[[#This Row],[Energy Measure]]</f>
        <v>Mech_-</v>
      </c>
      <c r="I33" s="304" t="str">
        <f>IF(NLTable[[#This Row],[End-Use]]="","",INDEX(NLIndexTable[CalcMethod],MATCH(NLTable[[#This Row],[Energy Measure]],NLIndexTable[BCH Rerofit Technology],0)))</f>
        <v/>
      </c>
      <c r="J33" s="305" t="str">
        <f>IFERROR(INDEX(NLIndexTable[BC Hydro pu],MATCH(NLTable[[#This Row],[Unique Name]],NLIndexTable[Unique Name],0)),"")</f>
        <v/>
      </c>
      <c r="K33" s="306">
        <v>1</v>
      </c>
      <c r="L33" s="307" t="str">
        <f>IFERROR(INDEX(NLBaselineParam[#Data],MATCH(NLTable[[#This Row],[Index]],NLBaselineParam[Var],0),MATCH(NLTable[[#This Row],[CalcMethod]],NLBaselineParam[#Headers],0)),"")</f>
        <v/>
      </c>
      <c r="M33" s="528"/>
      <c r="N33" s="308" t="str">
        <f>IFERROR(INDEX(NLProposedParam[#Data],MATCH(NLTable[[#This Row],[Index]],NLProposedParam[Var],0),MATCH(NLTable[[#This Row],[CalcMethod]],NLProposedParam[#Headers],0)),"")</f>
        <v/>
      </c>
      <c r="O33" s="528"/>
      <c r="P33" s="309" t="str">
        <f>IF(NLTable[[#This Row],[CalcMethod]]="DHW",IF(NLTable[[#This Row],[Rebate Unit]]="per unit",M34*INDEX(NLIndexTable[BC Hydro Rebate],MATCH(NLTable[[#This Row],[Unique Name]],NLIndexTable[Unique Name],0)),M33*INDEX(NLIndexTable[BC Hydro Rebate],MATCH(NLTable[[#This Row],[Unique Name]],NLIndexTable[Unique Name],0))),"")</f>
        <v/>
      </c>
      <c r="Q33" s="309" t="str">
        <f>IF(NLTable[[#This Row],[CalcMethod]]="Windows",MIN(INDEX(NLIndexTable[BC Hydro Rebate],MATCH(NLTable[[#This Row],[Unique Name]],NLIndexTable[Unique Name],0))*O34,NLTable[[#This Row],[Retrofit Values]]*1200),IF(NLTable[[#This Row],[CalcMethod]]="Envelope",INDEX(NLIndexTable[BC Hydro Rebate],MATCH(NLTable[[#This Row],[Unique Name]],NLIndexTable[Unique Name],0))*O34,""))</f>
        <v/>
      </c>
      <c r="R33" s="309" t="str">
        <f>IF(NLTable[[#This Row],[End-Use]]="HVAC",IF(NLTable[[#This Row],[CalcMethod]]="HVAC-MUA",O34*INDEX(NLIndexTable[BC Hydro Rebate],MATCH(NLTable[[#This Row],[Unique Name]],NLIndexTable[Unique Name],0)),O33*INDEX(NLIndexTable[BC Hydro Rebate],MATCH(NLTable[[#This Row],[Unique Name]],NLIndexTable[Unique Name],0))),"")</f>
        <v/>
      </c>
      <c r="S33" s="309" t="str">
        <f>IF(NLTable[[#This Row],[Measure Type (Energy Efficiency or Low Carbon Electrification)]]="EE",IF(NLTable[[#This Row],[CalcMethod]]="Commercial Kitchen",O33*INDEX(NLIndexTable[BC Hydro Rebate],MATCH(NLTable[[#This Row],[Unique Name]],NLIndexTable[Unique Name],0)),""),"")</f>
        <v/>
      </c>
      <c r="T33" s="309" t="str">
        <f>IF(NLTable[[#This Row],[CalcMethod]]="Mechanical",IF(NLTable[[#This Row],[Rebate Unit]]="per unit",M34*INDEX(NLIndexTable[BC Hydro Rebate],MATCH(NLTable[[#This Row],[Unique Name]],NLIndexTable[Unique Name],0)),M34*M33*INDEX(NLIndexTable[BC Hydro Rebate],MATCH(NLTable[[#This Row],[Unique Name]],NLIndexTable[Unique Name],0))),"")</f>
        <v/>
      </c>
      <c r="U33" s="309" t="str">
        <f>IF(NLTable[[#This Row],[CalcMethod]]="Refrigeration",O33*INDEX(NLIndexTable[BC Hydro Rebate],MATCH(NLTable[[#This Row],[Unique Name]],NLIndexTable[Unique Name],0)),"")</f>
        <v/>
      </c>
      <c r="V33" s="310" t="str">
        <f>IF(NLTable[[#This Row],[CalcMethod]]="DHW",INDEX(NLIndexTable[Elec Savings kWh],MATCH(NLTable[[#This Row],[Unique Name]],NLIndexTable[Unique Name],0))*M33,"")</f>
        <v/>
      </c>
      <c r="W33" s="310" t="str">
        <f>IF(NLTable[[#This Row],[CalcMethod]]="DHW",INDEX(NLIndexTable[kW Savings],MATCH(NLTable[[#This Row],[Unique Name]],NLIndexTable[Unique Name],0))*M33,"")</f>
        <v/>
      </c>
      <c r="X33" s="310" t="str">
        <f>IF(NLTable[[#This Row],[CalcMethod]]="DHW",INDEX(NLIndexTable[Gas Savings kWh],MATCH(NLTable[[#This Row],[Unique Name]],NLIndexTable[Unique Name],0))*M33/277.78,"")</f>
        <v/>
      </c>
      <c r="Y33" s="310" t="str">
        <f>IF(NLTable[[#This Row],[CalcMethod]]="Envelope",INDEX(NLIndexTable[Elec Savings kWh],MATCH(NLTable[[#This Row],[Unique Name]],NLIndexTable[Unique Name],0))*M33/100,IF(NLTable[[#This Row],[CalcMethod]]="Windows",INDEX(NLIndexTable[Elec Savings kWh],MATCH(NLTable[[#This Row],[Unique Name]],NLIndexTable[Unique Name],0))*M33/100,""))</f>
        <v/>
      </c>
      <c r="Z33" s="310"/>
      <c r="AA33" s="310"/>
      <c r="AB33" s="310" t="str">
        <f>IF(OR(NLTable[[#This Row],[CalcMethod]]="HVAC-HP-Heads",NLTable[[#This Row],[CalcMethod]]="HVAC-HP-Suite",NLTable[[#This Row],[CalcMethod]]="HVAC-HP-Tons",NLTable[[#This Row],[CalcMethod]]="HVAC-PTHP",NLTable[[#This Row],[CalcMethod]]="HVAC-MUA"),INDEX(NLIndexTable[Elec Savings kWh],MATCH(NLTable[[#This Row],[Unique Name]],NLIndexTable[Unique Name],0))*M33*'Project Info'!$C$69*IF(NLTable[[#This Row],[CalcMethod]]="HVAC-MUA",1,MIN(O34*'Project Info'!$H$118/(NLTable[[#This Row],[Baseline Values]]*'Project Info'!$C$69*'Project Info'!$D$97*3.41/1000),1)),"")</f>
        <v/>
      </c>
      <c r="AC33" s="310" t="str">
        <f>IF(OR(NLTable[[#This Row],[CalcMethod]]="HVAC-HP-Heads",NLTable[[#This Row],[CalcMethod]]="HVAC-HP-Suite",NLTable[[#This Row],[CalcMethod]]="HVAC-HP-Tons",NLTable[[#This Row],[CalcMethod]]="HVAC-PTHP",NLTable[[#This Row],[CalcMethod]]="HVAC-MUA"),INDEX(NLIndexTable[kW Savings],MATCH(NLTable[[#This Row],[Unique Name]],NLIndexTable[Unique Name],0))*M33*'Project Info'!$C$69*IF(NLTable[[#This Row],[CalcMethod]]="HVAC-MUA",1,MIN(O34*'Project Info'!$H$118/(NLTable[[#This Row],[Baseline Values]]*'Project Info'!$C$69*'Project Info'!$D$97*3.41/1000),1)),"")</f>
        <v/>
      </c>
      <c r="AD33" s="310"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Name],0))*M33*'Project Info'!$C$69*IF(NLTable[[#This Row],[CalcMethod]]="HVAC-MUA",1,MIN(O34*'Project Info'!$H$118/(NLTable[[#This Row],[Baseline Values]]*'Project Info'!$C$69*'Project Info'!$D$97*3.41/1000),1))/277.78,"")</f>
        <v/>
      </c>
      <c r="AE33" s="310" t="str">
        <f>IF(NLTable[[#This Row],[CalcMethod]]="Commercial Kitchen",INDEX(NLIndexTable[Elec Savings kWh],MATCH(NLTable[[#This Row],[Unique Name]],NLIndexTable[Unique Name],0))*O33,"")</f>
        <v/>
      </c>
      <c r="AF33" s="310" t="str">
        <f>IF(NLTable[[#This Row],[CalcMethod]]="Commercial Kitchen",IF(NLTable[[#This Row],[Measure Type (Energy Efficiency or Low Carbon Electrification)]]="LCE",-1*O34*NLTable[[#This Row],[Retrofit Values]],NLTable[[#This Row],[Baseline Values]]*M34-NLTable[[#This Row],[Retrofit Values]]*O34),"")</f>
        <v/>
      </c>
      <c r="AG33" s="310" t="str">
        <f>IF(NLTable[[#This Row],[CalcMethod]]="Commercial Kitchen",INDEX(NLIndexTable[Gas Savings kWh],MATCH(NLTable[[#This Row],[Unique Name]],NLIndexTable[Unique Name],0))*O33,"")</f>
        <v/>
      </c>
      <c r="AH33" s="310" t="str">
        <f>IF(NLTable[[#This Row],[CalcMethod]]="Mechanical",IF(NLTable[[#This Row],[Unique Name]]="Mech_EE-Parkade CO - HVAC Controls",NLTable[[#This Row],[Baseline Values]]*0.7457*M34*(M35-O33),(NLTable[[#This Row],[Baseline Values]]*M34*0.7457*M35)-(NLTable[[#This Row],[Baseline Values]]*M34*0.7457*0.75^2.5*O33)),"")</f>
        <v/>
      </c>
      <c r="AI33" s="310"/>
      <c r="AJ33" s="310"/>
      <c r="AK33" s="310" t="str">
        <f>IF(OR(NLTable[[#This Row],[CalcMethod]]="Refrigeration",NLTable[[#This Row],[CalcMethod]]="Refrig-cases"),INDEX(NLIndexTable[Elec Savings kWh],MATCH(NLTable[[#This Row],[Unique Name]],NLIndexTable[Unique Name],0))*O33,"")</f>
        <v/>
      </c>
      <c r="AL33" s="310" t="str">
        <f>IF(NLTable[[#This Row],[CalcMethod]]="Refrigeration",NLTable[[#This Row],[Baseline Values]]*M34-NLTable[[#This Row],[Retrofit Values]]*O34,"")</f>
        <v/>
      </c>
      <c r="AM33" s="310"/>
      <c r="AN33" s="311">
        <f>MIN(SUM(NLTable[[#This Row],[DHW]:[Refrig]]),NLTable[[#This Row],[Total Capital Cost, $]])</f>
        <v>0</v>
      </c>
      <c r="AO33" s="312">
        <f>SUM(NLTable[[#This Row],[DHW-kWh]],NLTable[[#This Row],[Env-kWH]],NLTable[[#This Row],[HVAC-kWH]],NLTable[[#This Row],[CK-kWH]],NLTable[[#This Row],[Mech-kWh]],NLTable[[#This Row],[Refg-kWh]])</f>
        <v>0</v>
      </c>
      <c r="AP33" s="312">
        <f>SUM(NLTable[[#This Row],[DHW-kW]],NLTable[[#This Row],[Env-kW]],NLTable[[#This Row],[HVAC-kW]],NLTable[[#This Row],[CK-kW]],NLTable[[#This Row],[Mech-kW]],NLTable[[#This Row],[Refg-kW]])</f>
        <v>0</v>
      </c>
      <c r="AQ33" s="312">
        <f>SUM(NLTable[[#This Row],[DHW-GJ]],NLTable[[#This Row],[Env-GJ]],NLTable[[#This Row],[HVAC-GJ]],NLTable[[#This Row],[CK-GJ]],NLTable[[#This Row],[Mech-GJ]],NLTable[[#This Row],[Refg-GJ]])</f>
        <v>0</v>
      </c>
      <c r="AR33" s="311" t="e">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#N/A</v>
      </c>
      <c r="AS33" s="312">
        <f>NLTable[[#This Row],[Nat. Gas Savings, GJ/yr]]*50/1000</f>
        <v>0</v>
      </c>
      <c r="AT33" s="312" cm="1">
        <f t="array" ref="AT33">SUM(IF(N33:N37="Total Capital Cost ($)",O33:O37,0))</f>
        <v>0</v>
      </c>
      <c r="AU33" s="313" t="str">
        <f>IFERROR(IF((NLTable[[#This Row],[Total Capital Cost, $]]-NLTable[[#This Row],[Total Rebate]])/NLTable[[#This Row],[Est. Energy Cost Savings, $]]&gt;0,(NLTable[[#This Row],[Total Capital Cost, $]]-NLTable[[#This Row],[Total Rebate]])/NLTable[[#This Row],[Est. Energy Cost Savings, $]],"No Payback"),"")</f>
        <v/>
      </c>
      <c r="AV33" s="314">
        <f>IF(NLTable[[#This Row],[Selected for Implementation]]="Yes",1,0)</f>
        <v>0</v>
      </c>
      <c r="AW33" s="314">
        <f>NLTable[[#This Row],[Implement]]*NLTable[[#This Row],[Total Rebate]]</f>
        <v>0</v>
      </c>
      <c r="AX33" s="314">
        <f>NLTable[[#This Row],[Implement]]*NLTable[[#This Row],[Electric Savings, kWh/yr]]</f>
        <v>0</v>
      </c>
      <c r="AY33" s="314">
        <f>NLTable[[#This Row],[Implement]]*NLTable[[#This Row],[Peak Demand Savings, kW]]</f>
        <v>0</v>
      </c>
      <c r="AZ33" s="314">
        <f>NLTable[[#This Row],[Implement]]*NLTable[[#This Row],[Nat. Gas Savings, GJ/yr]]</f>
        <v>0</v>
      </c>
      <c r="BA33" s="314" t="e">
        <f>NLTable[[#This Row],[Implement]]*NLTable[[#This Row],[Est. Energy Cost Savings, $]]</f>
        <v>#N/A</v>
      </c>
      <c r="BB33" s="314">
        <f>NLTable[[#This Row],[Implement]]*NLTable[[#This Row],[GHG Reduction, tCO2e/yr]]</f>
        <v>0</v>
      </c>
      <c r="BC33" s="314">
        <f>IFERROR(NLTable[[#This Row],[GHG Reduction]]*INDEX(NLIndexTable[Persistence],MATCH(NLTable[[#This Row],[Unique Name]],NLIndexTable[Unique Name],0)),0)</f>
        <v>0</v>
      </c>
      <c r="BD33" s="314">
        <f>NLTable[[#This Row],[Implement]]*NLTable[[#This Row],[Total Capital Cost, $]]</f>
        <v>0</v>
      </c>
      <c r="BE33" s="314" t="str">
        <f>IFERROR(INDEX(NLIndexTable[Equivalent xRM ECM],MATCH(NLTable[[#This Row],[Concatenate]],NLIndexTable[Unique Name],0)),"")</f>
        <v/>
      </c>
      <c r="BF33" s="314" t="str">
        <f>IF(NLTable[[#This Row],[Selected for Implementation]]="Yes",IF(NLTable[[#This Row],[No]]="","",NLTable[[#This Row],[Unique Name]]),"")</f>
        <v/>
      </c>
      <c r="BG33" s="617" cm="1">
        <f t="array" ref="BG33">IFERROR(IF(NLTable[[#This Row],[Implement]],SUM(IF(N33:N37="Total Area of Glazing Installed (ft2)",O33:O37,0)),0),0)</f>
        <v>0</v>
      </c>
      <c r="BH33" s="646"/>
    </row>
    <row r="34" spans="1:60" ht="24.65" customHeight="1" x14ac:dyDescent="0.3">
      <c r="A34" s="479"/>
      <c r="B34" s="481"/>
      <c r="C34" s="315"/>
      <c r="D34" s="221">
        <f t="shared" ref="D34:J34" si="20">D33</f>
        <v>0</v>
      </c>
      <c r="E34" s="221">
        <f t="shared" si="20"/>
        <v>0</v>
      </c>
      <c r="F34" s="221" t="str">
        <f t="shared" si="20"/>
        <v/>
      </c>
      <c r="G34" s="221">
        <f t="shared" si="20"/>
        <v>0</v>
      </c>
      <c r="H34" s="221" t="str">
        <f t="shared" si="20"/>
        <v>Mech_-</v>
      </c>
      <c r="I34" s="221" t="str">
        <f t="shared" si="20"/>
        <v/>
      </c>
      <c r="J34" s="222" t="str">
        <f t="shared" si="20"/>
        <v/>
      </c>
      <c r="K34" s="316">
        <v>2</v>
      </c>
      <c r="L34" s="317" t="str">
        <f>IFERROR(INDEX(NLBaselineParam[#Data],MATCH(NLTable[[#This Row],[Index]],NLBaselineParam[Var],0),MATCH(NLTable[[#This Row],[CalcMethod]],NLBaselineParam[#Headers],0)),"")</f>
        <v/>
      </c>
      <c r="M34" s="529"/>
      <c r="N34" s="318" t="str">
        <f>IFERROR(INDEX(NLProposedParam[#Data],MATCH(NLTable[[#This Row],[Index]],NLProposedParam[Var],0),MATCH(NLTable[[#This Row],[CalcMethod]],NLProposedParam[#Headers],0)),"")</f>
        <v/>
      </c>
      <c r="O34" s="529"/>
      <c r="P34" s="319"/>
      <c r="Q34" s="319"/>
      <c r="R34" s="319"/>
      <c r="S34" s="319"/>
      <c r="T34" s="319"/>
      <c r="U34" s="319"/>
      <c r="V34" s="320"/>
      <c r="W34" s="320"/>
      <c r="X34" s="320"/>
      <c r="Y34" s="320"/>
      <c r="Z34" s="320"/>
      <c r="AA34" s="320"/>
      <c r="AB34" s="320"/>
      <c r="AC34" s="320"/>
      <c r="AD34" s="320"/>
      <c r="AE34" s="320"/>
      <c r="AF34" s="320"/>
      <c r="AG34" s="320"/>
      <c r="AH34" s="320"/>
      <c r="AI34" s="320"/>
      <c r="AJ34" s="320"/>
      <c r="AK34" s="320"/>
      <c r="AL34" s="320"/>
      <c r="AM34" s="320"/>
      <c r="AN34" s="221"/>
      <c r="AO34" s="221"/>
      <c r="AP34" s="221"/>
      <c r="AQ34" s="221"/>
      <c r="AR34" s="221"/>
      <c r="AS34" s="221"/>
      <c r="AT34" s="221"/>
      <c r="AU34" s="223"/>
      <c r="AV34" s="314">
        <f>IF(NLTable[[#This Row],[Selected for Implementation]]="Yes",1,0)</f>
        <v>0</v>
      </c>
      <c r="AW34" s="314">
        <f>NLTable[[#This Row],[Implement]]*NLTable[[#This Row],[Total Rebate]]</f>
        <v>0</v>
      </c>
      <c r="AX34" s="314">
        <f>NLTable[[#This Row],[Implement]]*NLTable[[#This Row],[Electric Savings, kWh/yr]]</f>
        <v>0</v>
      </c>
      <c r="AY34" s="314">
        <f>NLTable[[#This Row],[Implement]]*NLTable[[#This Row],[Peak Demand Savings, kW]]</f>
        <v>0</v>
      </c>
      <c r="AZ34" s="314">
        <f>NLTable[[#This Row],[Implement]]*NLTable[[#This Row],[Nat. Gas Savings, GJ/yr]]</f>
        <v>0</v>
      </c>
      <c r="BA34" s="314">
        <f>NLTable[[#This Row],[Implement]]*NLTable[[#This Row],[Est. Energy Cost Savings, $]]</f>
        <v>0</v>
      </c>
      <c r="BB34" s="314">
        <f>NLTable[[#This Row],[Implement]]*NLTable[[#This Row],[GHG Reduction, tCO2e/yr]]</f>
        <v>0</v>
      </c>
      <c r="BC34" s="314">
        <f>IFERROR(NLTable[[#This Row],[GHG Reduction]]*INDEX(NLIndexTable[Persistence],MATCH(NLTable[[#This Row],[Unique Name]],NLIndexTable[Unique Name],0)),0)</f>
        <v>0</v>
      </c>
      <c r="BD34" s="314">
        <f>NLTable[[#This Row],[Implement]]*NLTable[[#This Row],[Total Capital Cost, $]]</f>
        <v>0</v>
      </c>
      <c r="BE34" s="321" t="str">
        <f>""</f>
        <v/>
      </c>
      <c r="BF34" s="314" t="str">
        <f>IF(NLTable[[#This Row],[Selected for Implementation]]="Yes",IF(NLTable[[#This Row],[No]]="","",NLTable[[#This Row],[Unique Name]]),"")</f>
        <v/>
      </c>
      <c r="BG34" s="617"/>
      <c r="BH34" s="647"/>
    </row>
    <row r="35" spans="1:60" ht="24.65" customHeight="1" x14ac:dyDescent="0.3">
      <c r="A35" s="479"/>
      <c r="B35" s="482"/>
      <c r="C35" s="322"/>
      <c r="D35" s="224">
        <f t="shared" ref="D35:J35" si="21">D33</f>
        <v>0</v>
      </c>
      <c r="E35" s="224">
        <f t="shared" si="21"/>
        <v>0</v>
      </c>
      <c r="F35" s="224" t="str">
        <f t="shared" si="21"/>
        <v/>
      </c>
      <c r="G35" s="224">
        <f t="shared" si="21"/>
        <v>0</v>
      </c>
      <c r="H35" s="224" t="str">
        <f t="shared" si="21"/>
        <v>Mech_-</v>
      </c>
      <c r="I35" s="224" t="str">
        <f t="shared" si="21"/>
        <v/>
      </c>
      <c r="J35" s="225" t="str">
        <f t="shared" si="21"/>
        <v/>
      </c>
      <c r="K35" s="316">
        <v>3</v>
      </c>
      <c r="L35" s="317" t="str">
        <f>IFERROR(INDEX(NLBaselineParam[#Data],MATCH(NLTable[[#This Row],[Index]],NLBaselineParam[Var],0),MATCH(NLTable[[#This Row],[CalcMethod]],NLBaselineParam[#Headers],0)),"")</f>
        <v/>
      </c>
      <c r="M35" s="529"/>
      <c r="N35" s="318" t="str">
        <f>IFERROR(INDEX(NLProposedParam[#Data],MATCH(NLTable[[#This Row],[Index]],NLProposedParam[Var],0),MATCH(NLTable[[#This Row],[CalcMethod]],NLProposedParam[#Headers],0)),"")</f>
        <v/>
      </c>
      <c r="O35" s="529"/>
      <c r="P35" s="319"/>
      <c r="Q35" s="319"/>
      <c r="R35" s="319"/>
      <c r="S35" s="319"/>
      <c r="T35" s="319"/>
      <c r="U35" s="319"/>
      <c r="V35" s="320"/>
      <c r="W35" s="320"/>
      <c r="X35" s="320"/>
      <c r="Y35" s="320"/>
      <c r="Z35" s="320"/>
      <c r="AA35" s="320"/>
      <c r="AB35" s="320"/>
      <c r="AC35" s="320"/>
      <c r="AD35" s="320"/>
      <c r="AE35" s="320"/>
      <c r="AF35" s="320"/>
      <c r="AG35" s="320"/>
      <c r="AH35" s="320"/>
      <c r="AI35" s="320"/>
      <c r="AJ35" s="320"/>
      <c r="AK35" s="320"/>
      <c r="AL35" s="320"/>
      <c r="AM35" s="320"/>
      <c r="AN35" s="224"/>
      <c r="AO35" s="224"/>
      <c r="AP35" s="224"/>
      <c r="AQ35" s="224"/>
      <c r="AR35" s="224"/>
      <c r="AS35" s="224"/>
      <c r="AT35" s="224"/>
      <c r="AU35" s="226"/>
      <c r="AV35" s="314">
        <f>IF(NLTable[[#This Row],[Selected for Implementation]]="Yes",1,0)</f>
        <v>0</v>
      </c>
      <c r="AW35" s="314">
        <f>NLTable[[#This Row],[Implement]]*NLTable[[#This Row],[Total Rebate]]</f>
        <v>0</v>
      </c>
      <c r="AX35" s="314">
        <f>NLTable[[#This Row],[Implement]]*NLTable[[#This Row],[Electric Savings, kWh/yr]]</f>
        <v>0</v>
      </c>
      <c r="AY35" s="314">
        <f>NLTable[[#This Row],[Implement]]*NLTable[[#This Row],[Peak Demand Savings, kW]]</f>
        <v>0</v>
      </c>
      <c r="AZ35" s="314">
        <f>NLTable[[#This Row],[Implement]]*NLTable[[#This Row],[Nat. Gas Savings, GJ/yr]]</f>
        <v>0</v>
      </c>
      <c r="BA35" s="314">
        <f>NLTable[[#This Row],[Implement]]*NLTable[[#This Row],[Est. Energy Cost Savings, $]]</f>
        <v>0</v>
      </c>
      <c r="BB35" s="314">
        <f>NLTable[[#This Row],[Implement]]*NLTable[[#This Row],[GHG Reduction, tCO2e/yr]]</f>
        <v>0</v>
      </c>
      <c r="BC35" s="314">
        <f>IFERROR(NLTable[[#This Row],[GHG Reduction]]*INDEX(NLIndexTable[Persistence],MATCH(NLTable[[#This Row],[Unique Name]],NLIndexTable[Unique Name],0)),0)</f>
        <v>0</v>
      </c>
      <c r="BD35" s="314">
        <f>NLTable[[#This Row],[Implement]]*NLTable[[#This Row],[Total Capital Cost, $]]</f>
        <v>0</v>
      </c>
      <c r="BE35" s="321" t="str">
        <f>""</f>
        <v/>
      </c>
      <c r="BF35" s="314" t="str">
        <f>IF(NLTable[[#This Row],[Selected for Implementation]]="Yes",IF(NLTable[[#This Row],[No]]="","",NLTable[[#This Row],[Unique Name]]),"")</f>
        <v/>
      </c>
      <c r="BG35" s="617"/>
      <c r="BH35" s="647"/>
    </row>
    <row r="36" spans="1:60" ht="24.65" customHeight="1" x14ac:dyDescent="0.3">
      <c r="A36" s="479"/>
      <c r="B36" s="482"/>
      <c r="C36" s="322"/>
      <c r="D36" s="224">
        <f t="shared" ref="D36:J36" si="22">D33</f>
        <v>0</v>
      </c>
      <c r="E36" s="224">
        <f t="shared" si="22"/>
        <v>0</v>
      </c>
      <c r="F36" s="224" t="str">
        <f t="shared" si="22"/>
        <v/>
      </c>
      <c r="G36" s="224">
        <f t="shared" si="22"/>
        <v>0</v>
      </c>
      <c r="H36" s="224" t="str">
        <f t="shared" si="22"/>
        <v>Mech_-</v>
      </c>
      <c r="I36" s="224" t="str">
        <f t="shared" si="22"/>
        <v/>
      </c>
      <c r="J36" s="225" t="str">
        <f t="shared" si="22"/>
        <v/>
      </c>
      <c r="K36" s="316">
        <v>4</v>
      </c>
      <c r="L36" s="317" t="str">
        <f>IFERROR(INDEX(NLBaselineParam[#Data],MATCH(NLTable[[#This Row],[Index]],NLBaselineParam[Var],0),MATCH(NLTable[[#This Row],[CalcMethod]],NLBaselineParam[#Headers],0)),"")</f>
        <v/>
      </c>
      <c r="M36" s="529"/>
      <c r="N36" s="318" t="str">
        <f>IFERROR(INDEX(NLProposedParam[#Data],MATCH(NLTable[[#This Row],[Index]],NLProposedParam[Var],0),MATCH(NLTable[[#This Row],[CalcMethod]],NLProposedParam[#Headers],0)),"")</f>
        <v/>
      </c>
      <c r="O36" s="529"/>
      <c r="P36" s="319"/>
      <c r="Q36" s="319"/>
      <c r="R36" s="319"/>
      <c r="S36" s="319"/>
      <c r="T36" s="319"/>
      <c r="U36" s="319"/>
      <c r="V36" s="320"/>
      <c r="W36" s="320"/>
      <c r="X36" s="320"/>
      <c r="Y36" s="320"/>
      <c r="Z36" s="320"/>
      <c r="AA36" s="320"/>
      <c r="AB36" s="320"/>
      <c r="AC36" s="320"/>
      <c r="AD36" s="320"/>
      <c r="AE36" s="320"/>
      <c r="AF36" s="320"/>
      <c r="AG36" s="320"/>
      <c r="AH36" s="320"/>
      <c r="AI36" s="320"/>
      <c r="AJ36" s="320"/>
      <c r="AK36" s="320"/>
      <c r="AL36" s="320"/>
      <c r="AM36" s="320"/>
      <c r="AN36" s="224"/>
      <c r="AO36" s="224"/>
      <c r="AP36" s="224"/>
      <c r="AQ36" s="224"/>
      <c r="AR36" s="224"/>
      <c r="AS36" s="224"/>
      <c r="AT36" s="224"/>
      <c r="AU36" s="226"/>
      <c r="AV36" s="314">
        <f>IF(NLTable[[#This Row],[Selected for Implementation]]="Yes",1,0)</f>
        <v>0</v>
      </c>
      <c r="AW36" s="314">
        <f>NLTable[[#This Row],[Implement]]*NLTable[[#This Row],[Total Rebate]]</f>
        <v>0</v>
      </c>
      <c r="AX36" s="314">
        <f>NLTable[[#This Row],[Implement]]*NLTable[[#This Row],[Electric Savings, kWh/yr]]</f>
        <v>0</v>
      </c>
      <c r="AY36" s="314">
        <f>NLTable[[#This Row],[Implement]]*NLTable[[#This Row],[Peak Demand Savings, kW]]</f>
        <v>0</v>
      </c>
      <c r="AZ36" s="314">
        <f>NLTable[[#This Row],[Implement]]*NLTable[[#This Row],[Nat. Gas Savings, GJ/yr]]</f>
        <v>0</v>
      </c>
      <c r="BA36" s="314">
        <f>NLTable[[#This Row],[Implement]]*NLTable[[#This Row],[Est. Energy Cost Savings, $]]</f>
        <v>0</v>
      </c>
      <c r="BB36" s="314">
        <f>NLTable[[#This Row],[Implement]]*NLTable[[#This Row],[GHG Reduction, tCO2e/yr]]</f>
        <v>0</v>
      </c>
      <c r="BC36" s="314">
        <f>IFERROR(NLTable[[#This Row],[GHG Reduction]]*INDEX(NLIndexTable[Persistence],MATCH(NLTable[[#This Row],[Unique Name]],NLIndexTable[Unique Name],0)),0)</f>
        <v>0</v>
      </c>
      <c r="BD36" s="314">
        <f>NLTable[[#This Row],[Implement]]*NLTable[[#This Row],[Total Capital Cost, $]]</f>
        <v>0</v>
      </c>
      <c r="BE36" s="321" t="str">
        <f>""</f>
        <v/>
      </c>
      <c r="BF36" s="314" t="str">
        <f>IF(NLTable[[#This Row],[Selected for Implementation]]="Yes",IF(NLTable[[#This Row],[No]]="","",NLTable[[#This Row],[Unique Name]]),"")</f>
        <v/>
      </c>
      <c r="BG36" s="617"/>
      <c r="BH36" s="647"/>
    </row>
    <row r="37" spans="1:60" s="230" customFormat="1" ht="24.65" customHeight="1" thickBot="1" x14ac:dyDescent="0.35">
      <c r="A37" s="479"/>
      <c r="B37" s="483"/>
      <c r="C37" s="323"/>
      <c r="D37" s="227">
        <f t="shared" ref="D37:J37" si="23">D33</f>
        <v>0</v>
      </c>
      <c r="E37" s="227">
        <f t="shared" si="23"/>
        <v>0</v>
      </c>
      <c r="F37" s="227" t="str">
        <f t="shared" si="23"/>
        <v/>
      </c>
      <c r="G37" s="227">
        <f t="shared" si="23"/>
        <v>0</v>
      </c>
      <c r="H37" s="227" t="str">
        <f t="shared" si="23"/>
        <v>Mech_-</v>
      </c>
      <c r="I37" s="227" t="str">
        <f t="shared" si="23"/>
        <v/>
      </c>
      <c r="J37" s="228" t="str">
        <f t="shared" si="23"/>
        <v/>
      </c>
      <c r="K37" s="324">
        <v>5</v>
      </c>
      <c r="L37" s="325" t="str">
        <f>IFERROR(INDEX(NLBaselineParam[#Data],MATCH(NLTable[[#This Row],[Index]],NLBaselineParam[Var],0),MATCH(NLTable[[#This Row],[CalcMethod]],NLBaselineParam[#Headers],0)),"")</f>
        <v/>
      </c>
      <c r="M37" s="530"/>
      <c r="N37" s="326" t="str">
        <f>IFERROR(INDEX(NLProposedParam[#Data],MATCH(NLTable[[#This Row],[Index]],NLProposedParam[Var],0),MATCH(NLTable[[#This Row],[CalcMethod]],NLProposedParam[#Headers],0)),"")</f>
        <v/>
      </c>
      <c r="O37" s="530"/>
      <c r="P37" s="327"/>
      <c r="Q37" s="327"/>
      <c r="R37" s="327"/>
      <c r="S37" s="327"/>
      <c r="T37" s="327"/>
      <c r="U37" s="327"/>
      <c r="V37" s="328"/>
      <c r="W37" s="328"/>
      <c r="X37" s="328"/>
      <c r="Y37" s="328"/>
      <c r="Z37" s="328"/>
      <c r="AA37" s="328"/>
      <c r="AB37" s="328"/>
      <c r="AC37" s="328"/>
      <c r="AD37" s="328"/>
      <c r="AE37" s="328"/>
      <c r="AF37" s="328"/>
      <c r="AG37" s="328"/>
      <c r="AH37" s="328"/>
      <c r="AI37" s="328"/>
      <c r="AJ37" s="328"/>
      <c r="AK37" s="328"/>
      <c r="AL37" s="328"/>
      <c r="AM37" s="328"/>
      <c r="AN37" s="227"/>
      <c r="AO37" s="227"/>
      <c r="AP37" s="227"/>
      <c r="AQ37" s="227"/>
      <c r="AR37" s="227"/>
      <c r="AS37" s="227"/>
      <c r="AT37" s="227"/>
      <c r="AU37" s="229"/>
      <c r="AV37" s="314">
        <f>IF(NLTable[[#This Row],[Selected for Implementation]]="Yes",1,0)</f>
        <v>0</v>
      </c>
      <c r="AW37" s="314">
        <f>NLTable[[#This Row],[Implement]]*NLTable[[#This Row],[Total Rebate]]</f>
        <v>0</v>
      </c>
      <c r="AX37" s="314">
        <f>NLTable[[#This Row],[Implement]]*NLTable[[#This Row],[Electric Savings, kWh/yr]]</f>
        <v>0</v>
      </c>
      <c r="AY37" s="314">
        <f>NLTable[[#This Row],[Implement]]*NLTable[[#This Row],[Peak Demand Savings, kW]]</f>
        <v>0</v>
      </c>
      <c r="AZ37" s="314">
        <f>NLTable[[#This Row],[Implement]]*NLTable[[#This Row],[Nat. Gas Savings, GJ/yr]]</f>
        <v>0</v>
      </c>
      <c r="BA37" s="314">
        <f>NLTable[[#This Row],[Implement]]*NLTable[[#This Row],[Est. Energy Cost Savings, $]]</f>
        <v>0</v>
      </c>
      <c r="BB37" s="314">
        <f>NLTable[[#This Row],[Implement]]*NLTable[[#This Row],[GHG Reduction, tCO2e/yr]]</f>
        <v>0</v>
      </c>
      <c r="BC37" s="314">
        <f>IFERROR(NLTable[[#This Row],[GHG Reduction]]*INDEX(NLIndexTable[Persistence],MATCH(NLTable[[#This Row],[Unique Name]],NLIndexTable[Unique Name],0)),0)</f>
        <v>0</v>
      </c>
      <c r="BD37" s="314">
        <f>NLTable[[#This Row],[Implement]]*NLTable[[#This Row],[Total Capital Cost, $]]</f>
        <v>0</v>
      </c>
      <c r="BE37" s="321" t="str">
        <f>""</f>
        <v/>
      </c>
      <c r="BF37" s="314" t="str">
        <f>IF(NLTable[[#This Row],[Selected for Implementation]]="Yes",IF(NLTable[[#This Row],[No]]="","",NLTable[[#This Row],[Unique Name]]),"")</f>
        <v/>
      </c>
      <c r="BG37" s="617"/>
      <c r="BH37" s="648"/>
    </row>
    <row r="38" spans="1:60" s="220" customFormat="1" ht="24.65" customHeight="1" x14ac:dyDescent="0.3">
      <c r="A38" s="479"/>
      <c r="B38" s="480" t="str">
        <f>IF(NLTable[[#This Row],[Baseline equipment energy source (or heating source for envelope measures)]]="","","NL-"&amp;(ROW(B38)-3)/5)</f>
        <v/>
      </c>
      <c r="C38" s="48"/>
      <c r="D38" s="48"/>
      <c r="E38" s="48"/>
      <c r="F38" s="303" t="str">
        <f>IF(ISBLANK(NLTable[[#This Row],[Baseline equipment energy source (or heating source for envelope measures)]]),"",IF(NLTable[[#This Row],[Baseline equipment energy source (or heating source for envelope measures)]]="Electricity", "EE", "LCE"))</f>
        <v/>
      </c>
      <c r="G38" s="49"/>
      <c r="H38" s="219" t="str">
        <f>"Mech_"&amp;NLTable[[#This Row],[Measure Type (Energy Efficiency or Low Carbon Electrification)]]&amp;"-"&amp;NLTable[[#This Row],[Energy Measure]]</f>
        <v>Mech_-</v>
      </c>
      <c r="I38" s="304" t="str">
        <f>IF(NLTable[[#This Row],[End-Use]]="","",INDEX(NLIndexTable[CalcMethod],MATCH(NLTable[[#This Row],[Energy Measure]],NLIndexTable[BCH Rerofit Technology],0)))</f>
        <v/>
      </c>
      <c r="J38" s="305" t="str">
        <f>IFERROR(INDEX(NLIndexTable[BC Hydro pu],MATCH(NLTable[[#This Row],[Unique Name]],NLIndexTable[Unique Name],0)),"")</f>
        <v/>
      </c>
      <c r="K38" s="306">
        <v>1</v>
      </c>
      <c r="L38" s="307" t="str">
        <f>IFERROR(INDEX(NLBaselineParam[#Data],MATCH(NLTable[[#This Row],[Index]],NLBaselineParam[Var],0),MATCH(NLTable[[#This Row],[CalcMethod]],NLBaselineParam[#Headers],0)),"")</f>
        <v/>
      </c>
      <c r="M38" s="528"/>
      <c r="N38" s="308" t="str">
        <f>IFERROR(INDEX(NLProposedParam[#Data],MATCH(NLTable[[#This Row],[Index]],NLProposedParam[Var],0),MATCH(NLTable[[#This Row],[CalcMethod]],NLProposedParam[#Headers],0)),"")</f>
        <v/>
      </c>
      <c r="O38" s="528"/>
      <c r="P38" s="309" t="str">
        <f>IF(NLTable[[#This Row],[CalcMethod]]="DHW",IF(NLTable[[#This Row],[Rebate Unit]]="per unit",M39*INDEX(NLIndexTable[BC Hydro Rebate],MATCH(NLTable[[#This Row],[Unique Name]],NLIndexTable[Unique Name],0)),M38*INDEX(NLIndexTable[BC Hydro Rebate],MATCH(NLTable[[#This Row],[Unique Name]],NLIndexTable[Unique Name],0))),"")</f>
        <v/>
      </c>
      <c r="Q38" s="309" t="str">
        <f>IF(NLTable[[#This Row],[CalcMethod]]="Windows",MIN(INDEX(NLIndexTable[BC Hydro Rebate],MATCH(NLTable[[#This Row],[Unique Name]],NLIndexTable[Unique Name],0))*O39,NLTable[[#This Row],[Retrofit Values]]*1200),IF(NLTable[[#This Row],[CalcMethod]]="Envelope",INDEX(NLIndexTable[BC Hydro Rebate],MATCH(NLTable[[#This Row],[Unique Name]],NLIndexTable[Unique Name],0))*O39,""))</f>
        <v/>
      </c>
      <c r="R38" s="309" t="str">
        <f>IF(NLTable[[#This Row],[End-Use]]="HVAC",IF(NLTable[[#This Row],[CalcMethod]]="HVAC-MUA",O39*INDEX(NLIndexTable[BC Hydro Rebate],MATCH(NLTable[[#This Row],[Unique Name]],NLIndexTable[Unique Name],0)),O38*INDEX(NLIndexTable[BC Hydro Rebate],MATCH(NLTable[[#This Row],[Unique Name]],NLIndexTable[Unique Name],0))),"")</f>
        <v/>
      </c>
      <c r="S38" s="309" t="str">
        <f>IF(NLTable[[#This Row],[Measure Type (Energy Efficiency or Low Carbon Electrification)]]="EE",IF(NLTable[[#This Row],[CalcMethod]]="Commercial Kitchen",O38*INDEX(NLIndexTable[BC Hydro Rebate],MATCH(NLTable[[#This Row],[Unique Name]],NLIndexTable[Unique Name],0)),""),"")</f>
        <v/>
      </c>
      <c r="T38" s="309" t="str">
        <f>IF(NLTable[[#This Row],[CalcMethod]]="Mechanical",IF(NLTable[[#This Row],[Rebate Unit]]="per unit",M39*INDEX(NLIndexTable[BC Hydro Rebate],MATCH(NLTable[[#This Row],[Unique Name]],NLIndexTable[Unique Name],0)),M39*M38*INDEX(NLIndexTable[BC Hydro Rebate],MATCH(NLTable[[#This Row],[Unique Name]],NLIndexTable[Unique Name],0))),"")</f>
        <v/>
      </c>
      <c r="U38" s="309" t="str">
        <f>IF(NLTable[[#This Row],[CalcMethod]]="Refrigeration",O38*INDEX(NLIndexTable[BC Hydro Rebate],MATCH(NLTable[[#This Row],[Unique Name]],NLIndexTable[Unique Name],0)),"")</f>
        <v/>
      </c>
      <c r="V38" s="310" t="str">
        <f>IF(NLTable[[#This Row],[CalcMethod]]="DHW",INDEX(NLIndexTable[Elec Savings kWh],MATCH(NLTable[[#This Row],[Unique Name]],NLIndexTable[Unique Name],0))*M38,"")</f>
        <v/>
      </c>
      <c r="W38" s="310" t="str">
        <f>IF(NLTable[[#This Row],[CalcMethod]]="DHW",INDEX(NLIndexTable[kW Savings],MATCH(NLTable[[#This Row],[Unique Name]],NLIndexTable[Unique Name],0))*M38,"")</f>
        <v/>
      </c>
      <c r="X38" s="310" t="str">
        <f>IF(NLTable[[#This Row],[CalcMethod]]="DHW",INDEX(NLIndexTable[Gas Savings kWh],MATCH(NLTable[[#This Row],[Unique Name]],NLIndexTable[Unique Name],0))*M38/277.78,"")</f>
        <v/>
      </c>
      <c r="Y38" s="310" t="str">
        <f>IF(NLTable[[#This Row],[CalcMethod]]="Envelope",INDEX(NLIndexTable[Elec Savings kWh],MATCH(NLTable[[#This Row],[Unique Name]],NLIndexTable[Unique Name],0))*M38/100,IF(NLTable[[#This Row],[CalcMethod]]="Windows",INDEX(NLIndexTable[Elec Savings kWh],MATCH(NLTable[[#This Row],[Unique Name]],NLIndexTable[Unique Name],0))*M38/100,""))</f>
        <v/>
      </c>
      <c r="Z38" s="310"/>
      <c r="AA38" s="310"/>
      <c r="AB38" s="310" t="str">
        <f>IF(OR(NLTable[[#This Row],[CalcMethod]]="HVAC-HP-Heads",NLTable[[#This Row],[CalcMethod]]="HVAC-HP-Suite",NLTable[[#This Row],[CalcMethod]]="HVAC-HP-Tons",NLTable[[#This Row],[CalcMethod]]="HVAC-PTHP",NLTable[[#This Row],[CalcMethod]]="HVAC-MUA"),INDEX(NLIndexTable[Elec Savings kWh],MATCH(NLTable[[#This Row],[Unique Name]],NLIndexTable[Unique Name],0))*M38*'Project Info'!$C$69*IF(NLTable[[#This Row],[CalcMethod]]="HVAC-MUA",1,MIN(O39*'Project Info'!$H$118/(NLTable[[#This Row],[Baseline Values]]*'Project Info'!$C$69*'Project Info'!$D$97*3.41/1000),1)),"")</f>
        <v/>
      </c>
      <c r="AC38" s="310" t="str">
        <f>IF(OR(NLTable[[#This Row],[CalcMethod]]="HVAC-HP-Heads",NLTable[[#This Row],[CalcMethod]]="HVAC-HP-Suite",NLTable[[#This Row],[CalcMethod]]="HVAC-HP-Tons",NLTable[[#This Row],[CalcMethod]]="HVAC-PTHP",NLTable[[#This Row],[CalcMethod]]="HVAC-MUA"),INDEX(NLIndexTable[kW Savings],MATCH(NLTable[[#This Row],[Unique Name]],NLIndexTable[Unique Name],0))*M38*'Project Info'!$C$69*IF(NLTable[[#This Row],[CalcMethod]]="HVAC-MUA",1,MIN(O39*'Project Info'!$H$118/(NLTable[[#This Row],[Baseline Values]]*'Project Info'!$C$69*'Project Info'!$D$97*3.41/1000),1)),"")</f>
        <v/>
      </c>
      <c r="AD38" s="310"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Name],0))*M38*'Project Info'!$C$69*IF(NLTable[[#This Row],[CalcMethod]]="HVAC-MUA",1,MIN(O39*'Project Info'!$H$118/(NLTable[[#This Row],[Baseline Values]]*'Project Info'!$C$69*'Project Info'!$D$97*3.41/1000),1))/277.78,"")</f>
        <v/>
      </c>
      <c r="AE38" s="310" t="str">
        <f>IF(NLTable[[#This Row],[CalcMethod]]="Commercial Kitchen",INDEX(NLIndexTable[Elec Savings kWh],MATCH(NLTable[[#This Row],[Unique Name]],NLIndexTable[Unique Name],0))*O38,"")</f>
        <v/>
      </c>
      <c r="AF38" s="310" t="str">
        <f>IF(NLTable[[#This Row],[CalcMethod]]="Commercial Kitchen",IF(NLTable[[#This Row],[Measure Type (Energy Efficiency or Low Carbon Electrification)]]="LCE",-1*O39*NLTable[[#This Row],[Retrofit Values]],NLTable[[#This Row],[Baseline Values]]*M39-NLTable[[#This Row],[Retrofit Values]]*O39),"")</f>
        <v/>
      </c>
      <c r="AG38" s="310" t="str">
        <f>IF(NLTable[[#This Row],[CalcMethod]]="Commercial Kitchen",INDEX(NLIndexTable[Gas Savings kWh],MATCH(NLTable[[#This Row],[Unique Name]],NLIndexTable[Unique Name],0))*O38,"")</f>
        <v/>
      </c>
      <c r="AH38" s="310" t="str">
        <f>IF(NLTable[[#This Row],[CalcMethod]]="Mechanical",IF(NLTable[[#This Row],[Unique Name]]="Mech_EE-Parkade CO - HVAC Controls",NLTable[[#This Row],[Baseline Values]]*0.7457*M39*(M40-O38),(NLTable[[#This Row],[Baseline Values]]*M39*0.7457*M40)-(NLTable[[#This Row],[Baseline Values]]*M39*0.7457*0.75^2.5*O38)),"")</f>
        <v/>
      </c>
      <c r="AI38" s="310"/>
      <c r="AJ38" s="310"/>
      <c r="AK38" s="310" t="str">
        <f>IF(OR(NLTable[[#This Row],[CalcMethod]]="Refrigeration",NLTable[[#This Row],[CalcMethod]]="Refrig-cases"),INDEX(NLIndexTable[Elec Savings kWh],MATCH(NLTable[[#This Row],[Unique Name]],NLIndexTable[Unique Name],0))*O38,"")</f>
        <v/>
      </c>
      <c r="AL38" s="310" t="str">
        <f>IF(NLTable[[#This Row],[CalcMethod]]="Refrigeration",NLTable[[#This Row],[Baseline Values]]*M39-NLTable[[#This Row],[Retrofit Values]]*O39,"")</f>
        <v/>
      </c>
      <c r="AM38" s="310"/>
      <c r="AN38" s="311">
        <f>MIN(SUM(NLTable[[#This Row],[DHW]:[Refrig]]),NLTable[[#This Row],[Total Capital Cost, $]])</f>
        <v>0</v>
      </c>
      <c r="AO38" s="312">
        <f>SUM(NLTable[[#This Row],[DHW-kWh]],NLTable[[#This Row],[Env-kWH]],NLTable[[#This Row],[HVAC-kWH]],NLTable[[#This Row],[CK-kWH]],NLTable[[#This Row],[Mech-kWh]],NLTable[[#This Row],[Refg-kWh]])</f>
        <v>0</v>
      </c>
      <c r="AP38" s="312">
        <f>SUM(NLTable[[#This Row],[DHW-kW]],NLTable[[#This Row],[Env-kW]],NLTable[[#This Row],[HVAC-kW]],NLTable[[#This Row],[CK-kW]],NLTable[[#This Row],[Mech-kW]],NLTable[[#This Row],[Refg-kW]])</f>
        <v>0</v>
      </c>
      <c r="AQ38" s="312">
        <f>SUM(NLTable[[#This Row],[DHW-GJ]],NLTable[[#This Row],[Env-GJ]],NLTable[[#This Row],[HVAC-GJ]],NLTable[[#This Row],[CK-GJ]],NLTable[[#This Row],[Mech-GJ]],NLTable[[#This Row],[Refg-GJ]])</f>
        <v>0</v>
      </c>
      <c r="AR38" s="311" t="e">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#N/A</v>
      </c>
      <c r="AS38" s="312">
        <f>NLTable[[#This Row],[Nat. Gas Savings, GJ/yr]]*50/1000</f>
        <v>0</v>
      </c>
      <c r="AT38" s="312" cm="1">
        <f t="array" ref="AT38">SUM(IF(N38:N42="Total Capital Cost ($)",O38:O42,0))</f>
        <v>0</v>
      </c>
      <c r="AU38" s="313" t="str">
        <f>IFERROR(IF((NLTable[[#This Row],[Total Capital Cost, $]]-NLTable[[#This Row],[Total Rebate]])/NLTable[[#This Row],[Est. Energy Cost Savings, $]]&gt;0,(NLTable[[#This Row],[Total Capital Cost, $]]-NLTable[[#This Row],[Total Rebate]])/NLTable[[#This Row],[Est. Energy Cost Savings, $]],"No Payback"),"")</f>
        <v/>
      </c>
      <c r="AV38" s="314">
        <f>IF(NLTable[[#This Row],[Selected for Implementation]]="Yes",1,0)</f>
        <v>0</v>
      </c>
      <c r="AW38" s="314">
        <f>NLTable[[#This Row],[Implement]]*NLTable[[#This Row],[Total Rebate]]</f>
        <v>0</v>
      </c>
      <c r="AX38" s="314">
        <f>NLTable[[#This Row],[Implement]]*NLTable[[#This Row],[Electric Savings, kWh/yr]]</f>
        <v>0</v>
      </c>
      <c r="AY38" s="314">
        <f>NLTable[[#This Row],[Implement]]*NLTable[[#This Row],[Peak Demand Savings, kW]]</f>
        <v>0</v>
      </c>
      <c r="AZ38" s="314">
        <f>NLTable[[#This Row],[Implement]]*NLTable[[#This Row],[Nat. Gas Savings, GJ/yr]]</f>
        <v>0</v>
      </c>
      <c r="BA38" s="314" t="e">
        <f>NLTable[[#This Row],[Implement]]*NLTable[[#This Row],[Est. Energy Cost Savings, $]]</f>
        <v>#N/A</v>
      </c>
      <c r="BB38" s="314">
        <f>NLTable[[#This Row],[Implement]]*NLTable[[#This Row],[GHG Reduction, tCO2e/yr]]</f>
        <v>0</v>
      </c>
      <c r="BC38" s="314">
        <f>IFERROR(NLTable[[#This Row],[GHG Reduction]]*INDEX(NLIndexTable[Persistence],MATCH(NLTable[[#This Row],[Unique Name]],NLIndexTable[Unique Name],0)),0)</f>
        <v>0</v>
      </c>
      <c r="BD38" s="314">
        <f>NLTable[[#This Row],[Implement]]*NLTable[[#This Row],[Total Capital Cost, $]]</f>
        <v>0</v>
      </c>
      <c r="BE38" s="314" t="str">
        <f>IFERROR(INDEX(NLIndexTable[Equivalent xRM ECM],MATCH(NLTable[[#This Row],[Concatenate]],NLIndexTable[Unique Name],0)),"")</f>
        <v/>
      </c>
      <c r="BF38" s="314" t="str">
        <f>IF(NLTable[[#This Row],[Selected for Implementation]]="Yes",IF(NLTable[[#This Row],[No]]="","",NLTable[[#This Row],[Unique Name]]),"")</f>
        <v/>
      </c>
      <c r="BG38" s="617" cm="1">
        <f t="array" ref="BG38">IFERROR(IF(NLTable[[#This Row],[Implement]],SUM(IF(N38:N42="Total Area of Glazing Installed (ft2)",O38:O42,0)),0),0)</f>
        <v>0</v>
      </c>
      <c r="BH38" s="646"/>
    </row>
    <row r="39" spans="1:60" ht="24.65" customHeight="1" x14ac:dyDescent="0.3">
      <c r="A39" s="479"/>
      <c r="B39" s="481"/>
      <c r="C39" s="315"/>
      <c r="D39" s="221">
        <f t="shared" ref="D39:J39" si="24">D38</f>
        <v>0</v>
      </c>
      <c r="E39" s="221">
        <f t="shared" si="24"/>
        <v>0</v>
      </c>
      <c r="F39" s="221" t="str">
        <f t="shared" si="24"/>
        <v/>
      </c>
      <c r="G39" s="221">
        <f t="shared" si="24"/>
        <v>0</v>
      </c>
      <c r="H39" s="221" t="str">
        <f t="shared" si="24"/>
        <v>Mech_-</v>
      </c>
      <c r="I39" s="221" t="str">
        <f t="shared" si="24"/>
        <v/>
      </c>
      <c r="J39" s="222" t="str">
        <f t="shared" si="24"/>
        <v/>
      </c>
      <c r="K39" s="316">
        <v>2</v>
      </c>
      <c r="L39" s="317" t="str">
        <f>IFERROR(INDEX(NLBaselineParam[#Data],MATCH(NLTable[[#This Row],[Index]],NLBaselineParam[Var],0),MATCH(NLTable[[#This Row],[CalcMethod]],NLBaselineParam[#Headers],0)),"")</f>
        <v/>
      </c>
      <c r="M39" s="529"/>
      <c r="N39" s="318" t="str">
        <f>IFERROR(INDEX(NLProposedParam[#Data],MATCH(NLTable[[#This Row],[Index]],NLProposedParam[Var],0),MATCH(NLTable[[#This Row],[CalcMethod]],NLProposedParam[#Headers],0)),"")</f>
        <v/>
      </c>
      <c r="O39" s="529"/>
      <c r="P39" s="319"/>
      <c r="Q39" s="319"/>
      <c r="R39" s="319"/>
      <c r="S39" s="319"/>
      <c r="T39" s="319"/>
      <c r="U39" s="319"/>
      <c r="V39" s="320"/>
      <c r="W39" s="320"/>
      <c r="X39" s="320"/>
      <c r="Y39" s="320"/>
      <c r="Z39" s="320"/>
      <c r="AA39" s="320"/>
      <c r="AB39" s="320"/>
      <c r="AC39" s="320"/>
      <c r="AD39" s="320"/>
      <c r="AE39" s="320"/>
      <c r="AF39" s="320"/>
      <c r="AG39" s="320"/>
      <c r="AH39" s="320"/>
      <c r="AI39" s="320"/>
      <c r="AJ39" s="320"/>
      <c r="AK39" s="320"/>
      <c r="AL39" s="320"/>
      <c r="AM39" s="320"/>
      <c r="AN39" s="221"/>
      <c r="AO39" s="221"/>
      <c r="AP39" s="221"/>
      <c r="AQ39" s="221"/>
      <c r="AR39" s="221"/>
      <c r="AS39" s="221"/>
      <c r="AT39" s="221"/>
      <c r="AU39" s="223"/>
      <c r="AV39" s="314">
        <f>IF(NLTable[[#This Row],[Selected for Implementation]]="Yes",1,0)</f>
        <v>0</v>
      </c>
      <c r="AW39" s="314">
        <f>NLTable[[#This Row],[Implement]]*NLTable[[#This Row],[Total Rebate]]</f>
        <v>0</v>
      </c>
      <c r="AX39" s="314">
        <f>NLTable[[#This Row],[Implement]]*NLTable[[#This Row],[Electric Savings, kWh/yr]]</f>
        <v>0</v>
      </c>
      <c r="AY39" s="314">
        <f>NLTable[[#This Row],[Implement]]*NLTable[[#This Row],[Peak Demand Savings, kW]]</f>
        <v>0</v>
      </c>
      <c r="AZ39" s="314">
        <f>NLTable[[#This Row],[Implement]]*NLTable[[#This Row],[Nat. Gas Savings, GJ/yr]]</f>
        <v>0</v>
      </c>
      <c r="BA39" s="314">
        <f>NLTable[[#This Row],[Implement]]*NLTable[[#This Row],[Est. Energy Cost Savings, $]]</f>
        <v>0</v>
      </c>
      <c r="BB39" s="314">
        <f>NLTable[[#This Row],[Implement]]*NLTable[[#This Row],[GHG Reduction, tCO2e/yr]]</f>
        <v>0</v>
      </c>
      <c r="BC39" s="314">
        <f>IFERROR(NLTable[[#This Row],[GHG Reduction]]*INDEX(NLIndexTable[Persistence],MATCH(NLTable[[#This Row],[Unique Name]],NLIndexTable[Unique Name],0)),0)</f>
        <v>0</v>
      </c>
      <c r="BD39" s="314">
        <f>NLTable[[#This Row],[Implement]]*NLTable[[#This Row],[Total Capital Cost, $]]</f>
        <v>0</v>
      </c>
      <c r="BE39" s="321" t="str">
        <f>""</f>
        <v/>
      </c>
      <c r="BF39" s="314" t="str">
        <f>IF(NLTable[[#This Row],[Selected for Implementation]]="Yes",IF(NLTable[[#This Row],[No]]="","",NLTable[[#This Row],[Unique Name]]),"")</f>
        <v/>
      </c>
      <c r="BG39" s="617"/>
      <c r="BH39" s="647"/>
    </row>
    <row r="40" spans="1:60" ht="24.65" customHeight="1" x14ac:dyDescent="0.3">
      <c r="A40" s="479"/>
      <c r="B40" s="482"/>
      <c r="C40" s="322"/>
      <c r="D40" s="224">
        <f t="shared" ref="D40:J40" si="25">D38</f>
        <v>0</v>
      </c>
      <c r="E40" s="224">
        <f t="shared" si="25"/>
        <v>0</v>
      </c>
      <c r="F40" s="224" t="str">
        <f t="shared" si="25"/>
        <v/>
      </c>
      <c r="G40" s="224">
        <f t="shared" si="25"/>
        <v>0</v>
      </c>
      <c r="H40" s="224" t="str">
        <f t="shared" si="25"/>
        <v>Mech_-</v>
      </c>
      <c r="I40" s="224" t="str">
        <f t="shared" si="25"/>
        <v/>
      </c>
      <c r="J40" s="225" t="str">
        <f t="shared" si="25"/>
        <v/>
      </c>
      <c r="K40" s="316">
        <v>3</v>
      </c>
      <c r="L40" s="317" t="str">
        <f>IFERROR(INDEX(NLBaselineParam[#Data],MATCH(NLTable[[#This Row],[Index]],NLBaselineParam[Var],0),MATCH(NLTable[[#This Row],[CalcMethod]],NLBaselineParam[#Headers],0)),"")</f>
        <v/>
      </c>
      <c r="M40" s="529"/>
      <c r="N40" s="318" t="str">
        <f>IFERROR(INDEX(NLProposedParam[#Data],MATCH(NLTable[[#This Row],[Index]],NLProposedParam[Var],0),MATCH(NLTable[[#This Row],[CalcMethod]],NLProposedParam[#Headers],0)),"")</f>
        <v/>
      </c>
      <c r="O40" s="529"/>
      <c r="P40" s="319"/>
      <c r="Q40" s="319"/>
      <c r="R40" s="319"/>
      <c r="S40" s="319"/>
      <c r="T40" s="319"/>
      <c r="U40" s="319"/>
      <c r="V40" s="320"/>
      <c r="W40" s="320"/>
      <c r="X40" s="320"/>
      <c r="Y40" s="320"/>
      <c r="Z40" s="320"/>
      <c r="AA40" s="320"/>
      <c r="AB40" s="320"/>
      <c r="AC40" s="320"/>
      <c r="AD40" s="320"/>
      <c r="AE40" s="320"/>
      <c r="AF40" s="320"/>
      <c r="AG40" s="320"/>
      <c r="AH40" s="320"/>
      <c r="AI40" s="320"/>
      <c r="AJ40" s="320"/>
      <c r="AK40" s="320"/>
      <c r="AL40" s="320"/>
      <c r="AM40" s="320"/>
      <c r="AN40" s="224"/>
      <c r="AO40" s="224"/>
      <c r="AP40" s="224"/>
      <c r="AQ40" s="224"/>
      <c r="AR40" s="224"/>
      <c r="AS40" s="224"/>
      <c r="AT40" s="224"/>
      <c r="AU40" s="226"/>
      <c r="AV40" s="314">
        <f>IF(NLTable[[#This Row],[Selected for Implementation]]="Yes",1,0)</f>
        <v>0</v>
      </c>
      <c r="AW40" s="314">
        <f>NLTable[[#This Row],[Implement]]*NLTable[[#This Row],[Total Rebate]]</f>
        <v>0</v>
      </c>
      <c r="AX40" s="314">
        <f>NLTable[[#This Row],[Implement]]*NLTable[[#This Row],[Electric Savings, kWh/yr]]</f>
        <v>0</v>
      </c>
      <c r="AY40" s="314">
        <f>NLTable[[#This Row],[Implement]]*NLTable[[#This Row],[Peak Demand Savings, kW]]</f>
        <v>0</v>
      </c>
      <c r="AZ40" s="314">
        <f>NLTable[[#This Row],[Implement]]*NLTable[[#This Row],[Nat. Gas Savings, GJ/yr]]</f>
        <v>0</v>
      </c>
      <c r="BA40" s="314">
        <f>NLTable[[#This Row],[Implement]]*NLTable[[#This Row],[Est. Energy Cost Savings, $]]</f>
        <v>0</v>
      </c>
      <c r="BB40" s="314">
        <f>NLTable[[#This Row],[Implement]]*NLTable[[#This Row],[GHG Reduction, tCO2e/yr]]</f>
        <v>0</v>
      </c>
      <c r="BC40" s="314">
        <f>IFERROR(NLTable[[#This Row],[GHG Reduction]]*INDEX(NLIndexTable[Persistence],MATCH(NLTable[[#This Row],[Unique Name]],NLIndexTable[Unique Name],0)),0)</f>
        <v>0</v>
      </c>
      <c r="BD40" s="314">
        <f>NLTable[[#This Row],[Implement]]*NLTable[[#This Row],[Total Capital Cost, $]]</f>
        <v>0</v>
      </c>
      <c r="BE40" s="321" t="str">
        <f>""</f>
        <v/>
      </c>
      <c r="BF40" s="314" t="str">
        <f>IF(NLTable[[#This Row],[Selected for Implementation]]="Yes",IF(NLTable[[#This Row],[No]]="","",NLTable[[#This Row],[Unique Name]]),"")</f>
        <v/>
      </c>
      <c r="BG40" s="617"/>
      <c r="BH40" s="647"/>
    </row>
    <row r="41" spans="1:60" ht="24.65" customHeight="1" x14ac:dyDescent="0.3">
      <c r="A41" s="479"/>
      <c r="B41" s="482"/>
      <c r="C41" s="322"/>
      <c r="D41" s="224">
        <f t="shared" ref="D41:J41" si="26">D38</f>
        <v>0</v>
      </c>
      <c r="E41" s="224">
        <f t="shared" si="26"/>
        <v>0</v>
      </c>
      <c r="F41" s="224" t="str">
        <f t="shared" si="26"/>
        <v/>
      </c>
      <c r="G41" s="224">
        <f t="shared" si="26"/>
        <v>0</v>
      </c>
      <c r="H41" s="224" t="str">
        <f t="shared" si="26"/>
        <v>Mech_-</v>
      </c>
      <c r="I41" s="224" t="str">
        <f t="shared" si="26"/>
        <v/>
      </c>
      <c r="J41" s="225" t="str">
        <f t="shared" si="26"/>
        <v/>
      </c>
      <c r="K41" s="316">
        <v>4</v>
      </c>
      <c r="L41" s="317" t="str">
        <f>IFERROR(INDEX(NLBaselineParam[#Data],MATCH(NLTable[[#This Row],[Index]],NLBaselineParam[Var],0),MATCH(NLTable[[#This Row],[CalcMethod]],NLBaselineParam[#Headers],0)),"")</f>
        <v/>
      </c>
      <c r="M41" s="529"/>
      <c r="N41" s="318" t="str">
        <f>IFERROR(INDEX(NLProposedParam[#Data],MATCH(NLTable[[#This Row],[Index]],NLProposedParam[Var],0),MATCH(NLTable[[#This Row],[CalcMethod]],NLProposedParam[#Headers],0)),"")</f>
        <v/>
      </c>
      <c r="O41" s="529"/>
      <c r="P41" s="319"/>
      <c r="Q41" s="319"/>
      <c r="R41" s="319"/>
      <c r="S41" s="319"/>
      <c r="T41" s="319"/>
      <c r="U41" s="319"/>
      <c r="V41" s="320"/>
      <c r="W41" s="320"/>
      <c r="X41" s="320"/>
      <c r="Y41" s="320"/>
      <c r="Z41" s="320"/>
      <c r="AA41" s="320"/>
      <c r="AB41" s="320"/>
      <c r="AC41" s="320"/>
      <c r="AD41" s="320"/>
      <c r="AE41" s="320"/>
      <c r="AF41" s="320"/>
      <c r="AG41" s="320"/>
      <c r="AH41" s="320"/>
      <c r="AI41" s="320"/>
      <c r="AJ41" s="320"/>
      <c r="AK41" s="320"/>
      <c r="AL41" s="320"/>
      <c r="AM41" s="320"/>
      <c r="AN41" s="224"/>
      <c r="AO41" s="224"/>
      <c r="AP41" s="224"/>
      <c r="AQ41" s="224"/>
      <c r="AR41" s="224"/>
      <c r="AS41" s="224"/>
      <c r="AT41" s="224"/>
      <c r="AU41" s="226"/>
      <c r="AV41" s="314">
        <f>IF(NLTable[[#This Row],[Selected for Implementation]]="Yes",1,0)</f>
        <v>0</v>
      </c>
      <c r="AW41" s="314">
        <f>NLTable[[#This Row],[Implement]]*NLTable[[#This Row],[Total Rebate]]</f>
        <v>0</v>
      </c>
      <c r="AX41" s="314">
        <f>NLTable[[#This Row],[Implement]]*NLTable[[#This Row],[Electric Savings, kWh/yr]]</f>
        <v>0</v>
      </c>
      <c r="AY41" s="314">
        <f>NLTable[[#This Row],[Implement]]*NLTable[[#This Row],[Peak Demand Savings, kW]]</f>
        <v>0</v>
      </c>
      <c r="AZ41" s="314">
        <f>NLTable[[#This Row],[Implement]]*NLTable[[#This Row],[Nat. Gas Savings, GJ/yr]]</f>
        <v>0</v>
      </c>
      <c r="BA41" s="314">
        <f>NLTable[[#This Row],[Implement]]*NLTable[[#This Row],[Est. Energy Cost Savings, $]]</f>
        <v>0</v>
      </c>
      <c r="BB41" s="314">
        <f>NLTable[[#This Row],[Implement]]*NLTable[[#This Row],[GHG Reduction, tCO2e/yr]]</f>
        <v>0</v>
      </c>
      <c r="BC41" s="314">
        <f>IFERROR(NLTable[[#This Row],[GHG Reduction]]*INDEX(NLIndexTable[Persistence],MATCH(NLTable[[#This Row],[Unique Name]],NLIndexTable[Unique Name],0)),0)</f>
        <v>0</v>
      </c>
      <c r="BD41" s="314">
        <f>NLTable[[#This Row],[Implement]]*NLTable[[#This Row],[Total Capital Cost, $]]</f>
        <v>0</v>
      </c>
      <c r="BE41" s="321" t="str">
        <f>""</f>
        <v/>
      </c>
      <c r="BF41" s="314" t="str">
        <f>IF(NLTable[[#This Row],[Selected for Implementation]]="Yes",IF(NLTable[[#This Row],[No]]="","",NLTable[[#This Row],[Unique Name]]),"")</f>
        <v/>
      </c>
      <c r="BG41" s="617"/>
      <c r="BH41" s="647"/>
    </row>
    <row r="42" spans="1:60" s="230" customFormat="1" ht="24.65" customHeight="1" thickBot="1" x14ac:dyDescent="0.35">
      <c r="A42" s="479"/>
      <c r="B42" s="483"/>
      <c r="C42" s="323"/>
      <c r="D42" s="227">
        <f t="shared" ref="D42:J42" si="27">D38</f>
        <v>0</v>
      </c>
      <c r="E42" s="227">
        <f t="shared" si="27"/>
        <v>0</v>
      </c>
      <c r="F42" s="227" t="str">
        <f t="shared" si="27"/>
        <v/>
      </c>
      <c r="G42" s="227">
        <f t="shared" si="27"/>
        <v>0</v>
      </c>
      <c r="H42" s="227" t="str">
        <f t="shared" si="27"/>
        <v>Mech_-</v>
      </c>
      <c r="I42" s="227" t="str">
        <f t="shared" si="27"/>
        <v/>
      </c>
      <c r="J42" s="228" t="str">
        <f t="shared" si="27"/>
        <v/>
      </c>
      <c r="K42" s="324">
        <v>5</v>
      </c>
      <c r="L42" s="325" t="str">
        <f>IFERROR(INDEX(NLBaselineParam[#Data],MATCH(NLTable[[#This Row],[Index]],NLBaselineParam[Var],0),MATCH(NLTable[[#This Row],[CalcMethod]],NLBaselineParam[#Headers],0)),"")</f>
        <v/>
      </c>
      <c r="M42" s="530"/>
      <c r="N42" s="326" t="str">
        <f>IFERROR(INDEX(NLProposedParam[#Data],MATCH(NLTable[[#This Row],[Index]],NLProposedParam[Var],0),MATCH(NLTable[[#This Row],[CalcMethod]],NLProposedParam[#Headers],0)),"")</f>
        <v/>
      </c>
      <c r="O42" s="530"/>
      <c r="P42" s="327"/>
      <c r="Q42" s="327"/>
      <c r="R42" s="327"/>
      <c r="S42" s="327"/>
      <c r="T42" s="327"/>
      <c r="U42" s="327"/>
      <c r="V42" s="328"/>
      <c r="W42" s="328"/>
      <c r="X42" s="328"/>
      <c r="Y42" s="328"/>
      <c r="Z42" s="328"/>
      <c r="AA42" s="328"/>
      <c r="AB42" s="328"/>
      <c r="AC42" s="328"/>
      <c r="AD42" s="328"/>
      <c r="AE42" s="328"/>
      <c r="AF42" s="328"/>
      <c r="AG42" s="328"/>
      <c r="AH42" s="328"/>
      <c r="AI42" s="328"/>
      <c r="AJ42" s="328"/>
      <c r="AK42" s="328"/>
      <c r="AL42" s="328"/>
      <c r="AM42" s="328"/>
      <c r="AN42" s="227"/>
      <c r="AO42" s="227"/>
      <c r="AP42" s="227"/>
      <c r="AQ42" s="227"/>
      <c r="AR42" s="227"/>
      <c r="AS42" s="227"/>
      <c r="AT42" s="227"/>
      <c r="AU42" s="229"/>
      <c r="AV42" s="314">
        <f>IF(NLTable[[#This Row],[Selected for Implementation]]="Yes",1,0)</f>
        <v>0</v>
      </c>
      <c r="AW42" s="314">
        <f>NLTable[[#This Row],[Implement]]*NLTable[[#This Row],[Total Rebate]]</f>
        <v>0</v>
      </c>
      <c r="AX42" s="314">
        <f>NLTable[[#This Row],[Implement]]*NLTable[[#This Row],[Electric Savings, kWh/yr]]</f>
        <v>0</v>
      </c>
      <c r="AY42" s="314">
        <f>NLTable[[#This Row],[Implement]]*NLTable[[#This Row],[Peak Demand Savings, kW]]</f>
        <v>0</v>
      </c>
      <c r="AZ42" s="314">
        <f>NLTable[[#This Row],[Implement]]*NLTable[[#This Row],[Nat. Gas Savings, GJ/yr]]</f>
        <v>0</v>
      </c>
      <c r="BA42" s="314">
        <f>NLTable[[#This Row],[Implement]]*NLTable[[#This Row],[Est. Energy Cost Savings, $]]</f>
        <v>0</v>
      </c>
      <c r="BB42" s="314">
        <f>NLTable[[#This Row],[Implement]]*NLTable[[#This Row],[GHG Reduction, tCO2e/yr]]</f>
        <v>0</v>
      </c>
      <c r="BC42" s="314">
        <f>IFERROR(NLTable[[#This Row],[GHG Reduction]]*INDEX(NLIndexTable[Persistence],MATCH(NLTable[[#This Row],[Unique Name]],NLIndexTable[Unique Name],0)),0)</f>
        <v>0</v>
      </c>
      <c r="BD42" s="314">
        <f>NLTable[[#This Row],[Implement]]*NLTable[[#This Row],[Total Capital Cost, $]]</f>
        <v>0</v>
      </c>
      <c r="BE42" s="321" t="str">
        <f>""</f>
        <v/>
      </c>
      <c r="BF42" s="314" t="str">
        <f>IF(NLTable[[#This Row],[Selected for Implementation]]="Yes",IF(NLTable[[#This Row],[No]]="","",NLTable[[#This Row],[Unique Name]]),"")</f>
        <v/>
      </c>
      <c r="BG42" s="617"/>
      <c r="BH42" s="648"/>
    </row>
    <row r="43" spans="1:60" s="220" customFormat="1" ht="24.65" customHeight="1" x14ac:dyDescent="0.3">
      <c r="A43" s="479"/>
      <c r="B43" s="480" t="str">
        <f>IF(NLTable[[#This Row],[Baseline equipment energy source (or heating source for envelope measures)]]="","","NL-"&amp;(ROW(B43)-3)/5)</f>
        <v/>
      </c>
      <c r="C43" s="48"/>
      <c r="D43" s="48"/>
      <c r="E43" s="48"/>
      <c r="F43" s="303" t="str">
        <f>IF(ISBLANK(NLTable[[#This Row],[Baseline equipment energy source (or heating source for envelope measures)]]),"",IF(NLTable[[#This Row],[Baseline equipment energy source (or heating source for envelope measures)]]="Electricity", "EE", "LCE"))</f>
        <v/>
      </c>
      <c r="G43" s="49"/>
      <c r="H43" s="219" t="str">
        <f>"Mech_"&amp;NLTable[[#This Row],[Measure Type (Energy Efficiency or Low Carbon Electrification)]]&amp;"-"&amp;NLTable[[#This Row],[Energy Measure]]</f>
        <v>Mech_-</v>
      </c>
      <c r="I43" s="304" t="str">
        <f>IF(NLTable[[#This Row],[End-Use]]="","",INDEX(NLIndexTable[CalcMethod],MATCH(NLTable[[#This Row],[Energy Measure]],NLIndexTable[BCH Rerofit Technology],0)))</f>
        <v/>
      </c>
      <c r="J43" s="305" t="str">
        <f>IFERROR(INDEX(NLIndexTable[BC Hydro pu],MATCH(NLTable[[#This Row],[Unique Name]],NLIndexTable[Unique Name],0)),"")</f>
        <v/>
      </c>
      <c r="K43" s="306">
        <v>1</v>
      </c>
      <c r="L43" s="307" t="str">
        <f>IFERROR(INDEX(NLBaselineParam[#Data],MATCH(NLTable[[#This Row],[Index]],NLBaselineParam[Var],0),MATCH(NLTable[[#This Row],[CalcMethod]],NLBaselineParam[#Headers],0)),"")</f>
        <v/>
      </c>
      <c r="M43" s="528"/>
      <c r="N43" s="308" t="str">
        <f>IFERROR(INDEX(NLProposedParam[#Data],MATCH(NLTable[[#This Row],[Index]],NLProposedParam[Var],0),MATCH(NLTable[[#This Row],[CalcMethod]],NLProposedParam[#Headers],0)),"")</f>
        <v/>
      </c>
      <c r="O43" s="528"/>
      <c r="P43" s="309" t="str">
        <f>IF(NLTable[[#This Row],[CalcMethod]]="DHW",IF(NLTable[[#This Row],[Rebate Unit]]="per unit",M44*INDEX(NLIndexTable[BC Hydro Rebate],MATCH(NLTable[[#This Row],[Unique Name]],NLIndexTable[Unique Name],0)),M43*INDEX(NLIndexTable[BC Hydro Rebate],MATCH(NLTable[[#This Row],[Unique Name]],NLIndexTable[Unique Name],0))),"")</f>
        <v/>
      </c>
      <c r="Q43" s="309" t="str">
        <f>IF(NLTable[[#This Row],[CalcMethod]]="Windows",MIN(INDEX(NLIndexTable[BC Hydro Rebate],MATCH(NLTable[[#This Row],[Unique Name]],NLIndexTable[Unique Name],0))*O44,NLTable[[#This Row],[Retrofit Values]]*1200),IF(NLTable[[#This Row],[CalcMethod]]="Envelope",INDEX(NLIndexTable[BC Hydro Rebate],MATCH(NLTable[[#This Row],[Unique Name]],NLIndexTable[Unique Name],0))*O44,""))</f>
        <v/>
      </c>
      <c r="R43" s="309" t="str">
        <f>IF(NLTable[[#This Row],[End-Use]]="HVAC",IF(NLTable[[#This Row],[CalcMethod]]="HVAC-MUA",O44*INDEX(NLIndexTable[BC Hydro Rebate],MATCH(NLTable[[#This Row],[Unique Name]],NLIndexTable[Unique Name],0)),O43*INDEX(NLIndexTable[BC Hydro Rebate],MATCH(NLTable[[#This Row],[Unique Name]],NLIndexTable[Unique Name],0))),"")</f>
        <v/>
      </c>
      <c r="S43" s="309" t="str">
        <f>IF(NLTable[[#This Row],[Measure Type (Energy Efficiency or Low Carbon Electrification)]]="EE",IF(NLTable[[#This Row],[CalcMethod]]="Commercial Kitchen",O43*INDEX(NLIndexTable[BC Hydro Rebate],MATCH(NLTable[[#This Row],[Unique Name]],NLIndexTable[Unique Name],0)),""),"")</f>
        <v/>
      </c>
      <c r="T43" s="309" t="str">
        <f>IF(NLTable[[#This Row],[CalcMethod]]="Mechanical",IF(NLTable[[#This Row],[Rebate Unit]]="per unit",M44*INDEX(NLIndexTable[BC Hydro Rebate],MATCH(NLTable[[#This Row],[Unique Name]],NLIndexTable[Unique Name],0)),M44*M43*INDEX(NLIndexTable[BC Hydro Rebate],MATCH(NLTable[[#This Row],[Unique Name]],NLIndexTable[Unique Name],0))),"")</f>
        <v/>
      </c>
      <c r="U43" s="309" t="str">
        <f>IF(NLTable[[#This Row],[CalcMethod]]="Refrigeration",O43*INDEX(NLIndexTable[BC Hydro Rebate],MATCH(NLTable[[#This Row],[Unique Name]],NLIndexTable[Unique Name],0)),"")</f>
        <v/>
      </c>
      <c r="V43" s="310" t="str">
        <f>IF(NLTable[[#This Row],[CalcMethod]]="DHW",INDEX(NLIndexTable[Elec Savings kWh],MATCH(NLTable[[#This Row],[Unique Name]],NLIndexTable[Unique Name],0))*M43,"")</f>
        <v/>
      </c>
      <c r="W43" s="310" t="str">
        <f>IF(NLTable[[#This Row],[CalcMethod]]="DHW",INDEX(NLIndexTable[kW Savings],MATCH(NLTable[[#This Row],[Unique Name]],NLIndexTable[Unique Name],0))*M43,"")</f>
        <v/>
      </c>
      <c r="X43" s="310" t="str">
        <f>IF(NLTable[[#This Row],[CalcMethod]]="DHW",INDEX(NLIndexTable[Gas Savings kWh],MATCH(NLTable[[#This Row],[Unique Name]],NLIndexTable[Unique Name],0))*M43/277.78,"")</f>
        <v/>
      </c>
      <c r="Y43" s="310" t="str">
        <f>IF(NLTable[[#This Row],[CalcMethod]]="Envelope",INDEX(NLIndexTable[Elec Savings kWh],MATCH(NLTable[[#This Row],[Unique Name]],NLIndexTable[Unique Name],0))*M43/100,IF(NLTable[[#This Row],[CalcMethod]]="Windows",INDEX(NLIndexTable[Elec Savings kWh],MATCH(NLTable[[#This Row],[Unique Name]],NLIndexTable[Unique Name],0))*M43/100,""))</f>
        <v/>
      </c>
      <c r="Z43" s="310"/>
      <c r="AA43" s="310"/>
      <c r="AB43" s="310" t="str">
        <f>IF(OR(NLTable[[#This Row],[CalcMethod]]="HVAC-HP-Heads",NLTable[[#This Row],[CalcMethod]]="HVAC-HP-Suite",NLTable[[#This Row],[CalcMethod]]="HVAC-HP-Tons",NLTable[[#This Row],[CalcMethod]]="HVAC-PTHP",NLTable[[#This Row],[CalcMethod]]="HVAC-MUA"),INDEX(NLIndexTable[Elec Savings kWh],MATCH(NLTable[[#This Row],[Unique Name]],NLIndexTable[Unique Name],0))*M43*'Project Info'!$C$69*IF(NLTable[[#This Row],[CalcMethod]]="HVAC-MUA",1,MIN(O44*'Project Info'!$H$118/(NLTable[[#This Row],[Baseline Values]]*'Project Info'!$C$69*'Project Info'!$D$97*3.41/1000),1)),"")</f>
        <v/>
      </c>
      <c r="AC43" s="310" t="str">
        <f>IF(OR(NLTable[[#This Row],[CalcMethod]]="HVAC-HP-Heads",NLTable[[#This Row],[CalcMethod]]="HVAC-HP-Suite",NLTable[[#This Row],[CalcMethod]]="HVAC-HP-Tons",NLTable[[#This Row],[CalcMethod]]="HVAC-PTHP",NLTable[[#This Row],[CalcMethod]]="HVAC-MUA"),INDEX(NLIndexTable[kW Savings],MATCH(NLTable[[#This Row],[Unique Name]],NLIndexTable[Unique Name],0))*M43*'Project Info'!$C$69*IF(NLTable[[#This Row],[CalcMethod]]="HVAC-MUA",1,MIN(O44*'Project Info'!$H$118/(NLTable[[#This Row],[Baseline Values]]*'Project Info'!$C$69*'Project Info'!$D$97*3.41/1000),1)),"")</f>
        <v/>
      </c>
      <c r="AD43" s="310"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Name],0))*M43*'Project Info'!$C$69*IF(NLTable[[#This Row],[CalcMethod]]="HVAC-MUA",1,MIN(O44*'Project Info'!$H$118/(NLTable[[#This Row],[Baseline Values]]*'Project Info'!$C$69*'Project Info'!$D$97*3.41/1000),1))/277.78,"")</f>
        <v/>
      </c>
      <c r="AE43" s="310" t="str">
        <f>IF(NLTable[[#This Row],[CalcMethod]]="Commercial Kitchen",INDEX(NLIndexTable[Elec Savings kWh],MATCH(NLTable[[#This Row],[Unique Name]],NLIndexTable[Unique Name],0))*O43,"")</f>
        <v/>
      </c>
      <c r="AF43" s="310" t="str">
        <f>IF(NLTable[[#This Row],[CalcMethod]]="Commercial Kitchen",IF(NLTable[[#This Row],[Measure Type (Energy Efficiency or Low Carbon Electrification)]]="LCE",-1*O44*NLTable[[#This Row],[Retrofit Values]],NLTable[[#This Row],[Baseline Values]]*M44-NLTable[[#This Row],[Retrofit Values]]*O44),"")</f>
        <v/>
      </c>
      <c r="AG43" s="310" t="str">
        <f>IF(NLTable[[#This Row],[CalcMethod]]="Commercial Kitchen",INDEX(NLIndexTable[Gas Savings kWh],MATCH(NLTable[[#This Row],[Unique Name]],NLIndexTable[Unique Name],0))*O43,"")</f>
        <v/>
      </c>
      <c r="AH43" s="310" t="str">
        <f>IF(NLTable[[#This Row],[CalcMethod]]="Mechanical",IF(NLTable[[#This Row],[Unique Name]]="Mech_EE-Parkade CO - HVAC Controls",NLTable[[#This Row],[Baseline Values]]*0.7457*M44*(M45-O43),(NLTable[[#This Row],[Baseline Values]]*M44*0.7457*M45)-(NLTable[[#This Row],[Baseline Values]]*M44*0.7457*0.75^2.5*O43)),"")</f>
        <v/>
      </c>
      <c r="AI43" s="310"/>
      <c r="AJ43" s="310"/>
      <c r="AK43" s="310" t="str">
        <f>IF(OR(NLTable[[#This Row],[CalcMethod]]="Refrigeration",NLTable[[#This Row],[CalcMethod]]="Refrig-cases"),INDEX(NLIndexTable[Elec Savings kWh],MATCH(NLTable[[#This Row],[Unique Name]],NLIndexTable[Unique Name],0))*O43,"")</f>
        <v/>
      </c>
      <c r="AL43" s="310" t="str">
        <f>IF(NLTable[[#This Row],[CalcMethod]]="Refrigeration",NLTable[[#This Row],[Baseline Values]]*M44-NLTable[[#This Row],[Retrofit Values]]*O44,"")</f>
        <v/>
      </c>
      <c r="AM43" s="310"/>
      <c r="AN43" s="311">
        <f>MIN(SUM(NLTable[[#This Row],[DHW]:[Refrig]]),NLTable[[#This Row],[Total Capital Cost, $]])</f>
        <v>0</v>
      </c>
      <c r="AO43" s="312">
        <f>SUM(NLTable[[#This Row],[DHW-kWh]],NLTable[[#This Row],[Env-kWH]],NLTable[[#This Row],[HVAC-kWH]],NLTable[[#This Row],[CK-kWH]],NLTable[[#This Row],[Mech-kWh]],NLTable[[#This Row],[Refg-kWh]])</f>
        <v>0</v>
      </c>
      <c r="AP43" s="312">
        <f>SUM(NLTable[[#This Row],[DHW-kW]],NLTable[[#This Row],[Env-kW]],NLTable[[#This Row],[HVAC-kW]],NLTable[[#This Row],[CK-kW]],NLTable[[#This Row],[Mech-kW]],NLTable[[#This Row],[Refg-kW]])</f>
        <v>0</v>
      </c>
      <c r="AQ43" s="312">
        <f>SUM(NLTable[[#This Row],[DHW-GJ]],NLTable[[#This Row],[Env-GJ]],NLTable[[#This Row],[HVAC-GJ]],NLTable[[#This Row],[CK-GJ]],NLTable[[#This Row],[Mech-GJ]],NLTable[[#This Row],[Refg-GJ]])</f>
        <v>0</v>
      </c>
      <c r="AR43" s="311" t="e">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#N/A</v>
      </c>
      <c r="AS43" s="312">
        <f>NLTable[[#This Row],[Nat. Gas Savings, GJ/yr]]*50/1000</f>
        <v>0</v>
      </c>
      <c r="AT43" s="312" cm="1">
        <f t="array" ref="AT43">SUM(IF(N43:N47="Total Capital Cost ($)",O43:O47,0))</f>
        <v>0</v>
      </c>
      <c r="AU43" s="313" t="str">
        <f>IFERROR(IF((NLTable[[#This Row],[Total Capital Cost, $]]-NLTable[[#This Row],[Total Rebate]])/NLTable[[#This Row],[Est. Energy Cost Savings, $]]&gt;0,(NLTable[[#This Row],[Total Capital Cost, $]]-NLTable[[#This Row],[Total Rebate]])/NLTable[[#This Row],[Est. Energy Cost Savings, $]],"No Payback"),"")</f>
        <v/>
      </c>
      <c r="AV43" s="314">
        <f>IF(NLTable[[#This Row],[Selected for Implementation]]="Yes",1,0)</f>
        <v>0</v>
      </c>
      <c r="AW43" s="314">
        <f>NLTable[[#This Row],[Implement]]*NLTable[[#This Row],[Total Rebate]]</f>
        <v>0</v>
      </c>
      <c r="AX43" s="314">
        <f>NLTable[[#This Row],[Implement]]*NLTable[[#This Row],[Electric Savings, kWh/yr]]</f>
        <v>0</v>
      </c>
      <c r="AY43" s="314">
        <f>NLTable[[#This Row],[Implement]]*NLTable[[#This Row],[Peak Demand Savings, kW]]</f>
        <v>0</v>
      </c>
      <c r="AZ43" s="314">
        <f>NLTable[[#This Row],[Implement]]*NLTable[[#This Row],[Nat. Gas Savings, GJ/yr]]</f>
        <v>0</v>
      </c>
      <c r="BA43" s="314" t="e">
        <f>NLTable[[#This Row],[Implement]]*NLTable[[#This Row],[Est. Energy Cost Savings, $]]</f>
        <v>#N/A</v>
      </c>
      <c r="BB43" s="314">
        <f>NLTable[[#This Row],[Implement]]*NLTable[[#This Row],[GHG Reduction, tCO2e/yr]]</f>
        <v>0</v>
      </c>
      <c r="BC43" s="314">
        <f>IFERROR(NLTable[[#This Row],[GHG Reduction]]*INDEX(NLIndexTable[Persistence],MATCH(NLTable[[#This Row],[Unique Name]],NLIndexTable[Unique Name],0)),0)</f>
        <v>0</v>
      </c>
      <c r="BD43" s="314">
        <f>NLTable[[#This Row],[Implement]]*NLTable[[#This Row],[Total Capital Cost, $]]</f>
        <v>0</v>
      </c>
      <c r="BE43" s="314" t="str">
        <f>IFERROR(INDEX(NLIndexTable[Equivalent xRM ECM],MATCH(NLTable[[#This Row],[Concatenate]],NLIndexTable[Unique Name],0)),"")</f>
        <v/>
      </c>
      <c r="BF43" s="314" t="str">
        <f>IF(NLTable[[#This Row],[Selected for Implementation]]="Yes",IF(NLTable[[#This Row],[No]]="","",NLTable[[#This Row],[Unique Name]]),"")</f>
        <v/>
      </c>
      <c r="BG43" s="617" cm="1">
        <f t="array" ref="BG43">IFERROR(IF(NLTable[[#This Row],[Implement]],SUM(IF(N43:N47="Total Area of Glazing Installed (ft2)",O43:O47,0)),0),0)</f>
        <v>0</v>
      </c>
      <c r="BH43" s="646"/>
    </row>
    <row r="44" spans="1:60" ht="24.65" customHeight="1" x14ac:dyDescent="0.3">
      <c r="A44" s="479"/>
      <c r="B44" s="481"/>
      <c r="C44" s="315"/>
      <c r="D44" s="221">
        <f t="shared" ref="D44:J44" si="28">D43</f>
        <v>0</v>
      </c>
      <c r="E44" s="221">
        <f t="shared" si="28"/>
        <v>0</v>
      </c>
      <c r="F44" s="221" t="str">
        <f t="shared" si="28"/>
        <v/>
      </c>
      <c r="G44" s="221">
        <f t="shared" si="28"/>
        <v>0</v>
      </c>
      <c r="H44" s="221" t="str">
        <f t="shared" si="28"/>
        <v>Mech_-</v>
      </c>
      <c r="I44" s="221" t="str">
        <f t="shared" si="28"/>
        <v/>
      </c>
      <c r="J44" s="222" t="str">
        <f t="shared" si="28"/>
        <v/>
      </c>
      <c r="K44" s="316">
        <v>2</v>
      </c>
      <c r="L44" s="317" t="str">
        <f>IFERROR(INDEX(NLBaselineParam[#Data],MATCH(NLTable[[#This Row],[Index]],NLBaselineParam[Var],0),MATCH(NLTable[[#This Row],[CalcMethod]],NLBaselineParam[#Headers],0)),"")</f>
        <v/>
      </c>
      <c r="M44" s="529"/>
      <c r="N44" s="318" t="str">
        <f>IFERROR(INDEX(NLProposedParam[#Data],MATCH(NLTable[[#This Row],[Index]],NLProposedParam[Var],0),MATCH(NLTable[[#This Row],[CalcMethod]],NLProposedParam[#Headers],0)),"")</f>
        <v/>
      </c>
      <c r="O44" s="529"/>
      <c r="P44" s="319"/>
      <c r="Q44" s="319"/>
      <c r="R44" s="319"/>
      <c r="S44" s="319"/>
      <c r="T44" s="319"/>
      <c r="U44" s="319"/>
      <c r="V44" s="320"/>
      <c r="W44" s="320"/>
      <c r="X44" s="320"/>
      <c r="Y44" s="320"/>
      <c r="Z44" s="320"/>
      <c r="AA44" s="320"/>
      <c r="AB44" s="320"/>
      <c r="AC44" s="320"/>
      <c r="AD44" s="320"/>
      <c r="AE44" s="320"/>
      <c r="AF44" s="320"/>
      <c r="AG44" s="320"/>
      <c r="AH44" s="320"/>
      <c r="AI44" s="320"/>
      <c r="AJ44" s="320"/>
      <c r="AK44" s="320"/>
      <c r="AL44" s="320"/>
      <c r="AM44" s="320"/>
      <c r="AN44" s="221"/>
      <c r="AO44" s="221"/>
      <c r="AP44" s="221"/>
      <c r="AQ44" s="221"/>
      <c r="AR44" s="221"/>
      <c r="AS44" s="221"/>
      <c r="AT44" s="221"/>
      <c r="AU44" s="223"/>
      <c r="AV44" s="314">
        <f>IF(NLTable[[#This Row],[Selected for Implementation]]="Yes",1,0)</f>
        <v>0</v>
      </c>
      <c r="AW44" s="314">
        <f>NLTable[[#This Row],[Implement]]*NLTable[[#This Row],[Total Rebate]]</f>
        <v>0</v>
      </c>
      <c r="AX44" s="314">
        <f>NLTable[[#This Row],[Implement]]*NLTable[[#This Row],[Electric Savings, kWh/yr]]</f>
        <v>0</v>
      </c>
      <c r="AY44" s="314">
        <f>NLTable[[#This Row],[Implement]]*NLTable[[#This Row],[Peak Demand Savings, kW]]</f>
        <v>0</v>
      </c>
      <c r="AZ44" s="314">
        <f>NLTable[[#This Row],[Implement]]*NLTable[[#This Row],[Nat. Gas Savings, GJ/yr]]</f>
        <v>0</v>
      </c>
      <c r="BA44" s="314">
        <f>NLTable[[#This Row],[Implement]]*NLTable[[#This Row],[Est. Energy Cost Savings, $]]</f>
        <v>0</v>
      </c>
      <c r="BB44" s="314">
        <f>NLTable[[#This Row],[Implement]]*NLTable[[#This Row],[GHG Reduction, tCO2e/yr]]</f>
        <v>0</v>
      </c>
      <c r="BC44" s="314">
        <f>IFERROR(NLTable[[#This Row],[GHG Reduction]]*INDEX(NLIndexTable[Persistence],MATCH(NLTable[[#This Row],[Unique Name]],NLIndexTable[Unique Name],0)),0)</f>
        <v>0</v>
      </c>
      <c r="BD44" s="314">
        <f>NLTable[[#This Row],[Implement]]*NLTable[[#This Row],[Total Capital Cost, $]]</f>
        <v>0</v>
      </c>
      <c r="BE44" s="321" t="str">
        <f>""</f>
        <v/>
      </c>
      <c r="BF44" s="314" t="str">
        <f>IF(NLTable[[#This Row],[Selected for Implementation]]="Yes",IF(NLTable[[#This Row],[No]]="","",NLTable[[#This Row],[Unique Name]]),"")</f>
        <v/>
      </c>
      <c r="BG44" s="617"/>
      <c r="BH44" s="647"/>
    </row>
    <row r="45" spans="1:60" ht="24.65" customHeight="1" x14ac:dyDescent="0.3">
      <c r="A45" s="479"/>
      <c r="B45" s="482"/>
      <c r="C45" s="322"/>
      <c r="D45" s="224">
        <f t="shared" ref="D45:J45" si="29">D43</f>
        <v>0</v>
      </c>
      <c r="E45" s="224">
        <f t="shared" si="29"/>
        <v>0</v>
      </c>
      <c r="F45" s="224" t="str">
        <f t="shared" si="29"/>
        <v/>
      </c>
      <c r="G45" s="224">
        <f t="shared" si="29"/>
        <v>0</v>
      </c>
      <c r="H45" s="224" t="str">
        <f t="shared" si="29"/>
        <v>Mech_-</v>
      </c>
      <c r="I45" s="224" t="str">
        <f t="shared" si="29"/>
        <v/>
      </c>
      <c r="J45" s="225" t="str">
        <f t="shared" si="29"/>
        <v/>
      </c>
      <c r="K45" s="316">
        <v>3</v>
      </c>
      <c r="L45" s="317" t="str">
        <f>IFERROR(INDEX(NLBaselineParam[#Data],MATCH(NLTable[[#This Row],[Index]],NLBaselineParam[Var],0),MATCH(NLTable[[#This Row],[CalcMethod]],NLBaselineParam[#Headers],0)),"")</f>
        <v/>
      </c>
      <c r="M45" s="529"/>
      <c r="N45" s="318" t="str">
        <f>IFERROR(INDEX(NLProposedParam[#Data],MATCH(NLTable[[#This Row],[Index]],NLProposedParam[Var],0),MATCH(NLTable[[#This Row],[CalcMethod]],NLProposedParam[#Headers],0)),"")</f>
        <v/>
      </c>
      <c r="O45" s="529"/>
      <c r="P45" s="319"/>
      <c r="Q45" s="319"/>
      <c r="R45" s="319"/>
      <c r="S45" s="319"/>
      <c r="T45" s="319"/>
      <c r="U45" s="319"/>
      <c r="V45" s="320"/>
      <c r="W45" s="320"/>
      <c r="X45" s="320"/>
      <c r="Y45" s="320"/>
      <c r="Z45" s="320"/>
      <c r="AA45" s="320"/>
      <c r="AB45" s="320"/>
      <c r="AC45" s="320"/>
      <c r="AD45" s="320"/>
      <c r="AE45" s="320"/>
      <c r="AF45" s="320"/>
      <c r="AG45" s="320"/>
      <c r="AH45" s="320"/>
      <c r="AI45" s="320"/>
      <c r="AJ45" s="320"/>
      <c r="AK45" s="320"/>
      <c r="AL45" s="320"/>
      <c r="AM45" s="320"/>
      <c r="AN45" s="224"/>
      <c r="AO45" s="224"/>
      <c r="AP45" s="224"/>
      <c r="AQ45" s="224"/>
      <c r="AR45" s="224"/>
      <c r="AS45" s="224"/>
      <c r="AT45" s="224"/>
      <c r="AU45" s="226"/>
      <c r="AV45" s="314">
        <f>IF(NLTable[[#This Row],[Selected for Implementation]]="Yes",1,0)</f>
        <v>0</v>
      </c>
      <c r="AW45" s="314">
        <f>NLTable[[#This Row],[Implement]]*NLTable[[#This Row],[Total Rebate]]</f>
        <v>0</v>
      </c>
      <c r="AX45" s="314">
        <f>NLTable[[#This Row],[Implement]]*NLTable[[#This Row],[Electric Savings, kWh/yr]]</f>
        <v>0</v>
      </c>
      <c r="AY45" s="314">
        <f>NLTable[[#This Row],[Implement]]*NLTable[[#This Row],[Peak Demand Savings, kW]]</f>
        <v>0</v>
      </c>
      <c r="AZ45" s="314">
        <f>NLTable[[#This Row],[Implement]]*NLTable[[#This Row],[Nat. Gas Savings, GJ/yr]]</f>
        <v>0</v>
      </c>
      <c r="BA45" s="314">
        <f>NLTable[[#This Row],[Implement]]*NLTable[[#This Row],[Est. Energy Cost Savings, $]]</f>
        <v>0</v>
      </c>
      <c r="BB45" s="314">
        <f>NLTable[[#This Row],[Implement]]*NLTable[[#This Row],[GHG Reduction, tCO2e/yr]]</f>
        <v>0</v>
      </c>
      <c r="BC45" s="314">
        <f>IFERROR(NLTable[[#This Row],[GHG Reduction]]*INDEX(NLIndexTable[Persistence],MATCH(NLTable[[#This Row],[Unique Name]],NLIndexTable[Unique Name],0)),0)</f>
        <v>0</v>
      </c>
      <c r="BD45" s="314">
        <f>NLTable[[#This Row],[Implement]]*NLTable[[#This Row],[Total Capital Cost, $]]</f>
        <v>0</v>
      </c>
      <c r="BE45" s="321" t="str">
        <f>""</f>
        <v/>
      </c>
      <c r="BF45" s="314" t="str">
        <f>IF(NLTable[[#This Row],[Selected for Implementation]]="Yes",IF(NLTable[[#This Row],[No]]="","",NLTable[[#This Row],[Unique Name]]),"")</f>
        <v/>
      </c>
      <c r="BG45" s="617"/>
      <c r="BH45" s="647"/>
    </row>
    <row r="46" spans="1:60" ht="24.65" customHeight="1" x14ac:dyDescent="0.3">
      <c r="A46" s="479"/>
      <c r="B46" s="482"/>
      <c r="C46" s="322"/>
      <c r="D46" s="224">
        <f t="shared" ref="D46:J46" si="30">D43</f>
        <v>0</v>
      </c>
      <c r="E46" s="224">
        <f t="shared" si="30"/>
        <v>0</v>
      </c>
      <c r="F46" s="224" t="str">
        <f t="shared" si="30"/>
        <v/>
      </c>
      <c r="G46" s="224">
        <f t="shared" si="30"/>
        <v>0</v>
      </c>
      <c r="H46" s="224" t="str">
        <f t="shared" si="30"/>
        <v>Mech_-</v>
      </c>
      <c r="I46" s="224" t="str">
        <f t="shared" si="30"/>
        <v/>
      </c>
      <c r="J46" s="225" t="str">
        <f t="shared" si="30"/>
        <v/>
      </c>
      <c r="K46" s="316">
        <v>4</v>
      </c>
      <c r="L46" s="317" t="str">
        <f>IFERROR(INDEX(NLBaselineParam[#Data],MATCH(NLTable[[#This Row],[Index]],NLBaselineParam[Var],0),MATCH(NLTable[[#This Row],[CalcMethod]],NLBaselineParam[#Headers],0)),"")</f>
        <v/>
      </c>
      <c r="M46" s="529"/>
      <c r="N46" s="318" t="str">
        <f>IFERROR(INDEX(NLProposedParam[#Data],MATCH(NLTable[[#This Row],[Index]],NLProposedParam[Var],0),MATCH(NLTable[[#This Row],[CalcMethod]],NLProposedParam[#Headers],0)),"")</f>
        <v/>
      </c>
      <c r="O46" s="529"/>
      <c r="P46" s="319"/>
      <c r="Q46" s="319"/>
      <c r="R46" s="319"/>
      <c r="S46" s="319"/>
      <c r="T46" s="319"/>
      <c r="U46" s="319"/>
      <c r="V46" s="320"/>
      <c r="W46" s="320"/>
      <c r="X46" s="320"/>
      <c r="Y46" s="320"/>
      <c r="Z46" s="320"/>
      <c r="AA46" s="320"/>
      <c r="AB46" s="320"/>
      <c r="AC46" s="320"/>
      <c r="AD46" s="320"/>
      <c r="AE46" s="320"/>
      <c r="AF46" s="320"/>
      <c r="AG46" s="320"/>
      <c r="AH46" s="320"/>
      <c r="AI46" s="320"/>
      <c r="AJ46" s="320"/>
      <c r="AK46" s="320"/>
      <c r="AL46" s="320"/>
      <c r="AM46" s="320"/>
      <c r="AN46" s="224"/>
      <c r="AO46" s="224"/>
      <c r="AP46" s="224"/>
      <c r="AQ46" s="224"/>
      <c r="AR46" s="224"/>
      <c r="AS46" s="224"/>
      <c r="AT46" s="224"/>
      <c r="AU46" s="226"/>
      <c r="AV46" s="314">
        <f>IF(NLTable[[#This Row],[Selected for Implementation]]="Yes",1,0)</f>
        <v>0</v>
      </c>
      <c r="AW46" s="314">
        <f>NLTable[[#This Row],[Implement]]*NLTable[[#This Row],[Total Rebate]]</f>
        <v>0</v>
      </c>
      <c r="AX46" s="314">
        <f>NLTable[[#This Row],[Implement]]*NLTable[[#This Row],[Electric Savings, kWh/yr]]</f>
        <v>0</v>
      </c>
      <c r="AY46" s="314">
        <f>NLTable[[#This Row],[Implement]]*NLTable[[#This Row],[Peak Demand Savings, kW]]</f>
        <v>0</v>
      </c>
      <c r="AZ46" s="314">
        <f>NLTable[[#This Row],[Implement]]*NLTable[[#This Row],[Nat. Gas Savings, GJ/yr]]</f>
        <v>0</v>
      </c>
      <c r="BA46" s="314">
        <f>NLTable[[#This Row],[Implement]]*NLTable[[#This Row],[Est. Energy Cost Savings, $]]</f>
        <v>0</v>
      </c>
      <c r="BB46" s="314">
        <f>NLTable[[#This Row],[Implement]]*NLTable[[#This Row],[GHG Reduction, tCO2e/yr]]</f>
        <v>0</v>
      </c>
      <c r="BC46" s="314">
        <f>IFERROR(NLTable[[#This Row],[GHG Reduction]]*INDEX(NLIndexTable[Persistence],MATCH(NLTable[[#This Row],[Unique Name]],NLIndexTable[Unique Name],0)),0)</f>
        <v>0</v>
      </c>
      <c r="BD46" s="314">
        <f>NLTable[[#This Row],[Implement]]*NLTable[[#This Row],[Total Capital Cost, $]]</f>
        <v>0</v>
      </c>
      <c r="BE46" s="321" t="str">
        <f>""</f>
        <v/>
      </c>
      <c r="BF46" s="314" t="str">
        <f>IF(NLTable[[#This Row],[Selected for Implementation]]="Yes",IF(NLTable[[#This Row],[No]]="","",NLTable[[#This Row],[Unique Name]]),"")</f>
        <v/>
      </c>
      <c r="BG46" s="617"/>
      <c r="BH46" s="647"/>
    </row>
    <row r="47" spans="1:60" s="230" customFormat="1" ht="24.65" customHeight="1" thickBot="1" x14ac:dyDescent="0.35">
      <c r="A47" s="479"/>
      <c r="B47" s="483"/>
      <c r="C47" s="323"/>
      <c r="D47" s="227">
        <f t="shared" ref="D47:J47" si="31">D43</f>
        <v>0</v>
      </c>
      <c r="E47" s="227">
        <f t="shared" si="31"/>
        <v>0</v>
      </c>
      <c r="F47" s="227" t="str">
        <f t="shared" si="31"/>
        <v/>
      </c>
      <c r="G47" s="227">
        <f t="shared" si="31"/>
        <v>0</v>
      </c>
      <c r="H47" s="227" t="str">
        <f t="shared" si="31"/>
        <v>Mech_-</v>
      </c>
      <c r="I47" s="227" t="str">
        <f t="shared" si="31"/>
        <v/>
      </c>
      <c r="J47" s="228" t="str">
        <f t="shared" si="31"/>
        <v/>
      </c>
      <c r="K47" s="324">
        <v>5</v>
      </c>
      <c r="L47" s="325" t="str">
        <f>IFERROR(INDEX(NLBaselineParam[#Data],MATCH(NLTable[[#This Row],[Index]],NLBaselineParam[Var],0),MATCH(NLTable[[#This Row],[CalcMethod]],NLBaselineParam[#Headers],0)),"")</f>
        <v/>
      </c>
      <c r="M47" s="530"/>
      <c r="N47" s="326" t="str">
        <f>IFERROR(INDEX(NLProposedParam[#Data],MATCH(NLTable[[#This Row],[Index]],NLProposedParam[Var],0),MATCH(NLTable[[#This Row],[CalcMethod]],NLProposedParam[#Headers],0)),"")</f>
        <v/>
      </c>
      <c r="O47" s="530"/>
      <c r="P47" s="327"/>
      <c r="Q47" s="327"/>
      <c r="R47" s="327"/>
      <c r="S47" s="327"/>
      <c r="T47" s="327"/>
      <c r="U47" s="327"/>
      <c r="V47" s="328"/>
      <c r="W47" s="328"/>
      <c r="X47" s="328"/>
      <c r="Y47" s="328"/>
      <c r="Z47" s="328"/>
      <c r="AA47" s="328"/>
      <c r="AB47" s="328"/>
      <c r="AC47" s="328"/>
      <c r="AD47" s="328"/>
      <c r="AE47" s="328"/>
      <c r="AF47" s="328"/>
      <c r="AG47" s="328"/>
      <c r="AH47" s="328"/>
      <c r="AI47" s="328"/>
      <c r="AJ47" s="328"/>
      <c r="AK47" s="328"/>
      <c r="AL47" s="328"/>
      <c r="AM47" s="328"/>
      <c r="AN47" s="227"/>
      <c r="AO47" s="227"/>
      <c r="AP47" s="227"/>
      <c r="AQ47" s="227"/>
      <c r="AR47" s="227"/>
      <c r="AS47" s="227"/>
      <c r="AT47" s="227"/>
      <c r="AU47" s="229"/>
      <c r="AV47" s="314">
        <f>IF(NLTable[[#This Row],[Selected for Implementation]]="Yes",1,0)</f>
        <v>0</v>
      </c>
      <c r="AW47" s="314">
        <f>NLTable[[#This Row],[Implement]]*NLTable[[#This Row],[Total Rebate]]</f>
        <v>0</v>
      </c>
      <c r="AX47" s="314">
        <f>NLTable[[#This Row],[Implement]]*NLTable[[#This Row],[Electric Savings, kWh/yr]]</f>
        <v>0</v>
      </c>
      <c r="AY47" s="314">
        <f>NLTable[[#This Row],[Implement]]*NLTable[[#This Row],[Peak Demand Savings, kW]]</f>
        <v>0</v>
      </c>
      <c r="AZ47" s="314">
        <f>NLTable[[#This Row],[Implement]]*NLTable[[#This Row],[Nat. Gas Savings, GJ/yr]]</f>
        <v>0</v>
      </c>
      <c r="BA47" s="314">
        <f>NLTable[[#This Row],[Implement]]*NLTable[[#This Row],[Est. Energy Cost Savings, $]]</f>
        <v>0</v>
      </c>
      <c r="BB47" s="314">
        <f>NLTable[[#This Row],[Implement]]*NLTable[[#This Row],[GHG Reduction, tCO2e/yr]]</f>
        <v>0</v>
      </c>
      <c r="BC47" s="314">
        <f>IFERROR(NLTable[[#This Row],[GHG Reduction]]*INDEX(NLIndexTable[Persistence],MATCH(NLTable[[#This Row],[Unique Name]],NLIndexTable[Unique Name],0)),0)</f>
        <v>0</v>
      </c>
      <c r="BD47" s="314">
        <f>NLTable[[#This Row],[Implement]]*NLTable[[#This Row],[Total Capital Cost, $]]</f>
        <v>0</v>
      </c>
      <c r="BE47" s="321" t="str">
        <f>""</f>
        <v/>
      </c>
      <c r="BF47" s="314" t="str">
        <f>IF(NLTable[[#This Row],[Selected for Implementation]]="Yes",IF(NLTable[[#This Row],[No]]="","",NLTable[[#This Row],[Unique Name]]),"")</f>
        <v/>
      </c>
      <c r="BG47" s="617"/>
      <c r="BH47" s="648"/>
    </row>
    <row r="48" spans="1:60" s="220" customFormat="1" ht="24.65" customHeight="1" x14ac:dyDescent="0.3">
      <c r="A48" s="479"/>
      <c r="B48" s="480" t="str">
        <f>IF(NLTable[[#This Row],[Baseline equipment energy source (or heating source for envelope measures)]]="","","NL-"&amp;(ROW(B48)-3)/5)</f>
        <v/>
      </c>
      <c r="C48" s="48"/>
      <c r="D48" s="48"/>
      <c r="E48" s="48"/>
      <c r="F48" s="303" t="str">
        <f>IF(ISBLANK(NLTable[[#This Row],[Baseline equipment energy source (or heating source for envelope measures)]]),"",IF(NLTable[[#This Row],[Baseline equipment energy source (or heating source for envelope measures)]]="Electricity", "EE", "LCE"))</f>
        <v/>
      </c>
      <c r="G48" s="49"/>
      <c r="H48" s="219" t="str">
        <f>"Mech_"&amp;NLTable[[#This Row],[Measure Type (Energy Efficiency or Low Carbon Electrification)]]&amp;"-"&amp;NLTable[[#This Row],[Energy Measure]]</f>
        <v>Mech_-</v>
      </c>
      <c r="I48" s="304" t="str">
        <f>IF(NLTable[[#This Row],[End-Use]]="","",INDEX(NLIndexTable[CalcMethod],MATCH(NLTable[[#This Row],[Energy Measure]],NLIndexTable[BCH Rerofit Technology],0)))</f>
        <v/>
      </c>
      <c r="J48" s="305" t="str">
        <f>IFERROR(INDEX(NLIndexTable[BC Hydro pu],MATCH(NLTable[[#This Row],[Unique Name]],NLIndexTable[Unique Name],0)),"")</f>
        <v/>
      </c>
      <c r="K48" s="306">
        <v>1</v>
      </c>
      <c r="L48" s="307" t="str">
        <f>IFERROR(INDEX(NLBaselineParam[#Data],MATCH(NLTable[[#This Row],[Index]],NLBaselineParam[Var],0),MATCH(NLTable[[#This Row],[CalcMethod]],NLBaselineParam[#Headers],0)),"")</f>
        <v/>
      </c>
      <c r="M48" s="528"/>
      <c r="N48" s="308" t="str">
        <f>IFERROR(INDEX(NLProposedParam[#Data],MATCH(NLTable[[#This Row],[Index]],NLProposedParam[Var],0),MATCH(NLTable[[#This Row],[CalcMethod]],NLProposedParam[#Headers],0)),"")</f>
        <v/>
      </c>
      <c r="O48" s="528"/>
      <c r="P48" s="309" t="str">
        <f>IF(NLTable[[#This Row],[CalcMethod]]="DHW",IF(NLTable[[#This Row],[Rebate Unit]]="per unit",M49*INDEX(NLIndexTable[BC Hydro Rebate],MATCH(NLTable[[#This Row],[Unique Name]],NLIndexTable[Unique Name],0)),M48*INDEX(NLIndexTable[BC Hydro Rebate],MATCH(NLTable[[#This Row],[Unique Name]],NLIndexTable[Unique Name],0))),"")</f>
        <v/>
      </c>
      <c r="Q48" s="309" t="str">
        <f>IF(NLTable[[#This Row],[CalcMethod]]="Windows",MIN(INDEX(NLIndexTable[BC Hydro Rebate],MATCH(NLTable[[#This Row],[Unique Name]],NLIndexTable[Unique Name],0))*O49,NLTable[[#This Row],[Retrofit Values]]*1200),IF(NLTable[[#This Row],[CalcMethod]]="Envelope",INDEX(NLIndexTable[BC Hydro Rebate],MATCH(NLTable[[#This Row],[Unique Name]],NLIndexTable[Unique Name],0))*O49,""))</f>
        <v/>
      </c>
      <c r="R48" s="309" t="str">
        <f>IF(NLTable[[#This Row],[End-Use]]="HVAC",IF(NLTable[[#This Row],[CalcMethod]]="HVAC-MUA",O49*INDEX(NLIndexTable[BC Hydro Rebate],MATCH(NLTable[[#This Row],[Unique Name]],NLIndexTable[Unique Name],0)),O48*INDEX(NLIndexTable[BC Hydro Rebate],MATCH(NLTable[[#This Row],[Unique Name]],NLIndexTable[Unique Name],0))),"")</f>
        <v/>
      </c>
      <c r="S48" s="309" t="str">
        <f>IF(NLTable[[#This Row],[Measure Type (Energy Efficiency or Low Carbon Electrification)]]="EE",IF(NLTable[[#This Row],[CalcMethod]]="Commercial Kitchen",O48*INDEX(NLIndexTable[BC Hydro Rebate],MATCH(NLTable[[#This Row],[Unique Name]],NLIndexTable[Unique Name],0)),""),"")</f>
        <v/>
      </c>
      <c r="T48" s="309" t="str">
        <f>IF(NLTable[[#This Row],[CalcMethod]]="Mechanical",IF(NLTable[[#This Row],[Rebate Unit]]="per unit",M49*INDEX(NLIndexTable[BC Hydro Rebate],MATCH(NLTable[[#This Row],[Unique Name]],NLIndexTable[Unique Name],0)),M49*M48*INDEX(NLIndexTable[BC Hydro Rebate],MATCH(NLTable[[#This Row],[Unique Name]],NLIndexTable[Unique Name],0))),"")</f>
        <v/>
      </c>
      <c r="U48" s="309" t="str">
        <f>IF(NLTable[[#This Row],[CalcMethod]]="Refrigeration",O48*INDEX(NLIndexTable[BC Hydro Rebate],MATCH(NLTable[[#This Row],[Unique Name]],NLIndexTable[Unique Name],0)),"")</f>
        <v/>
      </c>
      <c r="V48" s="310" t="str">
        <f>IF(NLTable[[#This Row],[CalcMethod]]="DHW",INDEX(NLIndexTable[Elec Savings kWh],MATCH(NLTable[[#This Row],[Unique Name]],NLIndexTable[Unique Name],0))*M48,"")</f>
        <v/>
      </c>
      <c r="W48" s="310" t="str">
        <f>IF(NLTable[[#This Row],[CalcMethod]]="DHW",INDEX(NLIndexTable[kW Savings],MATCH(NLTable[[#This Row],[Unique Name]],NLIndexTable[Unique Name],0))*M48,"")</f>
        <v/>
      </c>
      <c r="X48" s="310" t="str">
        <f>IF(NLTable[[#This Row],[CalcMethod]]="DHW",INDEX(NLIndexTable[Gas Savings kWh],MATCH(NLTable[[#This Row],[Unique Name]],NLIndexTable[Unique Name],0))*M48/277.78,"")</f>
        <v/>
      </c>
      <c r="Y48" s="310" t="str">
        <f>IF(NLTable[[#This Row],[CalcMethod]]="Envelope",INDEX(NLIndexTable[Elec Savings kWh],MATCH(NLTable[[#This Row],[Unique Name]],NLIndexTable[Unique Name],0))*M48/100,IF(NLTable[[#This Row],[CalcMethod]]="Windows",INDEX(NLIndexTable[Elec Savings kWh],MATCH(NLTable[[#This Row],[Unique Name]],NLIndexTable[Unique Name],0))*M48/100,""))</f>
        <v/>
      </c>
      <c r="Z48" s="310"/>
      <c r="AA48" s="310"/>
      <c r="AB48" s="310" t="str">
        <f>IF(OR(NLTable[[#This Row],[CalcMethod]]="HVAC-HP-Heads",NLTable[[#This Row],[CalcMethod]]="HVAC-HP-Suite",NLTable[[#This Row],[CalcMethod]]="HVAC-HP-Tons",NLTable[[#This Row],[CalcMethod]]="HVAC-PTHP",NLTable[[#This Row],[CalcMethod]]="HVAC-MUA"),INDEX(NLIndexTable[Elec Savings kWh],MATCH(NLTable[[#This Row],[Unique Name]],NLIndexTable[Unique Name],0))*M48*'Project Info'!$C$69*IF(NLTable[[#This Row],[CalcMethod]]="HVAC-MUA",1,MIN(O49*'Project Info'!$H$118/(NLTable[[#This Row],[Baseline Values]]*'Project Info'!$C$69*'Project Info'!$D$97*3.41/1000),1)),"")</f>
        <v/>
      </c>
      <c r="AC48" s="310" t="str">
        <f>IF(OR(NLTable[[#This Row],[CalcMethod]]="HVAC-HP-Heads",NLTable[[#This Row],[CalcMethod]]="HVAC-HP-Suite",NLTable[[#This Row],[CalcMethod]]="HVAC-HP-Tons",NLTable[[#This Row],[CalcMethod]]="HVAC-PTHP",NLTable[[#This Row],[CalcMethod]]="HVAC-MUA"),INDEX(NLIndexTable[kW Savings],MATCH(NLTable[[#This Row],[Unique Name]],NLIndexTable[Unique Name],0))*M48*'Project Info'!$C$69*IF(NLTable[[#This Row],[CalcMethod]]="HVAC-MUA",1,MIN(O49*'Project Info'!$H$118/(NLTable[[#This Row],[Baseline Values]]*'Project Info'!$C$69*'Project Info'!$D$97*3.41/1000),1)),"")</f>
        <v/>
      </c>
      <c r="AD48" s="310"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Name],0))*M48*'Project Info'!$C$69*IF(NLTable[[#This Row],[CalcMethod]]="HVAC-MUA",1,MIN(O49*'Project Info'!$H$118/(NLTable[[#This Row],[Baseline Values]]*'Project Info'!$C$69*'Project Info'!$D$97*3.41/1000),1))/277.78,"")</f>
        <v/>
      </c>
      <c r="AE48" s="310" t="str">
        <f>IF(NLTable[[#This Row],[CalcMethod]]="Commercial Kitchen",INDEX(NLIndexTable[Elec Savings kWh],MATCH(NLTable[[#This Row],[Unique Name]],NLIndexTable[Unique Name],0))*O48,"")</f>
        <v/>
      </c>
      <c r="AF48" s="310" t="str">
        <f>IF(NLTable[[#This Row],[CalcMethod]]="Commercial Kitchen",IF(NLTable[[#This Row],[Measure Type (Energy Efficiency or Low Carbon Electrification)]]="LCE",-1*O49*NLTable[[#This Row],[Retrofit Values]],NLTable[[#This Row],[Baseline Values]]*M49-NLTable[[#This Row],[Retrofit Values]]*O49),"")</f>
        <v/>
      </c>
      <c r="AG48" s="310" t="str">
        <f>IF(NLTable[[#This Row],[CalcMethod]]="Commercial Kitchen",INDEX(NLIndexTable[Gas Savings kWh],MATCH(NLTable[[#This Row],[Unique Name]],NLIndexTable[Unique Name],0))*O48,"")</f>
        <v/>
      </c>
      <c r="AH48" s="310" t="str">
        <f>IF(NLTable[[#This Row],[CalcMethod]]="Mechanical",IF(NLTable[[#This Row],[Unique Name]]="Mech_EE-Parkade CO - HVAC Controls",NLTable[[#This Row],[Baseline Values]]*0.7457*M49*(M50-O48),(NLTable[[#This Row],[Baseline Values]]*M49*0.7457*M50)-(NLTable[[#This Row],[Baseline Values]]*M49*0.7457*0.75^2.5*O48)),"")</f>
        <v/>
      </c>
      <c r="AI48" s="310"/>
      <c r="AJ48" s="310"/>
      <c r="AK48" s="310" t="str">
        <f>IF(OR(NLTable[[#This Row],[CalcMethod]]="Refrigeration",NLTable[[#This Row],[CalcMethod]]="Refrig-cases"),INDEX(NLIndexTable[Elec Savings kWh],MATCH(NLTable[[#This Row],[Unique Name]],NLIndexTable[Unique Name],0))*O48,"")</f>
        <v/>
      </c>
      <c r="AL48" s="310" t="str">
        <f>IF(NLTable[[#This Row],[CalcMethod]]="Refrigeration",NLTable[[#This Row],[Baseline Values]]*M49-NLTable[[#This Row],[Retrofit Values]]*O49,"")</f>
        <v/>
      </c>
      <c r="AM48" s="310"/>
      <c r="AN48" s="311">
        <f>MIN(SUM(NLTable[[#This Row],[DHW]:[Refrig]]),NLTable[[#This Row],[Total Capital Cost, $]])</f>
        <v>0</v>
      </c>
      <c r="AO48" s="312">
        <f>SUM(NLTable[[#This Row],[DHW-kWh]],NLTable[[#This Row],[Env-kWH]],NLTable[[#This Row],[HVAC-kWH]],NLTable[[#This Row],[CK-kWH]],NLTable[[#This Row],[Mech-kWh]],NLTable[[#This Row],[Refg-kWh]])</f>
        <v>0</v>
      </c>
      <c r="AP48" s="312">
        <f>SUM(NLTable[[#This Row],[DHW-kW]],NLTable[[#This Row],[Env-kW]],NLTable[[#This Row],[HVAC-kW]],NLTable[[#This Row],[CK-kW]],NLTable[[#This Row],[Mech-kW]],NLTable[[#This Row],[Refg-kW]])</f>
        <v>0</v>
      </c>
      <c r="AQ48" s="312">
        <f>SUM(NLTable[[#This Row],[DHW-GJ]],NLTable[[#This Row],[Env-GJ]],NLTable[[#This Row],[HVAC-GJ]],NLTable[[#This Row],[CK-GJ]],NLTable[[#This Row],[Mech-GJ]],NLTable[[#This Row],[Refg-GJ]])</f>
        <v>0</v>
      </c>
      <c r="AR48" s="311" t="e">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#N/A</v>
      </c>
      <c r="AS48" s="312">
        <f>NLTable[[#This Row],[Nat. Gas Savings, GJ/yr]]*50/1000</f>
        <v>0</v>
      </c>
      <c r="AT48" s="312" cm="1">
        <f t="array" ref="AT48">SUM(IF(N48:N52="Total Capital Cost ($)",O48:O52,0))</f>
        <v>0</v>
      </c>
      <c r="AU48" s="313" t="str">
        <f>IFERROR(IF((NLTable[[#This Row],[Total Capital Cost, $]]-NLTable[[#This Row],[Total Rebate]])/NLTable[[#This Row],[Est. Energy Cost Savings, $]]&gt;0,(NLTable[[#This Row],[Total Capital Cost, $]]-NLTable[[#This Row],[Total Rebate]])/NLTable[[#This Row],[Est. Energy Cost Savings, $]],"No Payback"),"")</f>
        <v/>
      </c>
      <c r="AV48" s="314">
        <f>IF(NLTable[[#This Row],[Selected for Implementation]]="Yes",1,0)</f>
        <v>0</v>
      </c>
      <c r="AW48" s="314">
        <f>NLTable[[#This Row],[Implement]]*NLTable[[#This Row],[Total Rebate]]</f>
        <v>0</v>
      </c>
      <c r="AX48" s="314">
        <f>NLTable[[#This Row],[Implement]]*NLTable[[#This Row],[Electric Savings, kWh/yr]]</f>
        <v>0</v>
      </c>
      <c r="AY48" s="314">
        <f>NLTable[[#This Row],[Implement]]*NLTable[[#This Row],[Peak Demand Savings, kW]]</f>
        <v>0</v>
      </c>
      <c r="AZ48" s="314">
        <f>NLTable[[#This Row],[Implement]]*NLTable[[#This Row],[Nat. Gas Savings, GJ/yr]]</f>
        <v>0</v>
      </c>
      <c r="BA48" s="314" t="e">
        <f>NLTable[[#This Row],[Implement]]*NLTable[[#This Row],[Est. Energy Cost Savings, $]]</f>
        <v>#N/A</v>
      </c>
      <c r="BB48" s="314">
        <f>NLTable[[#This Row],[Implement]]*NLTable[[#This Row],[GHG Reduction, tCO2e/yr]]</f>
        <v>0</v>
      </c>
      <c r="BC48" s="314">
        <f>IFERROR(NLTable[[#This Row],[GHG Reduction]]*INDEX(NLIndexTable[Persistence],MATCH(NLTable[[#This Row],[Unique Name]],NLIndexTable[Unique Name],0)),0)</f>
        <v>0</v>
      </c>
      <c r="BD48" s="314">
        <f>NLTable[[#This Row],[Implement]]*NLTable[[#This Row],[Total Capital Cost, $]]</f>
        <v>0</v>
      </c>
      <c r="BE48" s="314" t="str">
        <f>IFERROR(INDEX(NLIndexTable[Equivalent xRM ECM],MATCH(NLTable[[#This Row],[Concatenate]],NLIndexTable[Unique Name],0)),"")</f>
        <v/>
      </c>
      <c r="BF48" s="314" t="str">
        <f>IF(NLTable[[#This Row],[Selected for Implementation]]="Yes",IF(NLTable[[#This Row],[No]]="","",NLTable[[#This Row],[Unique Name]]),"")</f>
        <v/>
      </c>
      <c r="BG48" s="617" cm="1">
        <f t="array" ref="BG48">IFERROR(IF(NLTable[[#This Row],[Implement]],SUM(IF(N48:N52="Total Area of Glazing Installed (ft2)",O48:O52,0)),0),0)</f>
        <v>0</v>
      </c>
      <c r="BH48" s="646"/>
    </row>
    <row r="49" spans="1:60" ht="24.65" customHeight="1" x14ac:dyDescent="0.3">
      <c r="A49" s="479"/>
      <c r="B49" s="481"/>
      <c r="C49" s="315"/>
      <c r="D49" s="221">
        <f t="shared" ref="D49:J49" si="32">D48</f>
        <v>0</v>
      </c>
      <c r="E49" s="221">
        <f t="shared" si="32"/>
        <v>0</v>
      </c>
      <c r="F49" s="221" t="str">
        <f t="shared" si="32"/>
        <v/>
      </c>
      <c r="G49" s="221">
        <f t="shared" si="32"/>
        <v>0</v>
      </c>
      <c r="H49" s="221" t="str">
        <f t="shared" si="32"/>
        <v>Mech_-</v>
      </c>
      <c r="I49" s="221" t="str">
        <f t="shared" si="32"/>
        <v/>
      </c>
      <c r="J49" s="222" t="str">
        <f t="shared" si="32"/>
        <v/>
      </c>
      <c r="K49" s="316">
        <v>2</v>
      </c>
      <c r="L49" s="317" t="str">
        <f>IFERROR(INDEX(NLBaselineParam[#Data],MATCH(NLTable[[#This Row],[Index]],NLBaselineParam[Var],0),MATCH(NLTable[[#This Row],[CalcMethod]],NLBaselineParam[#Headers],0)),"")</f>
        <v/>
      </c>
      <c r="M49" s="529"/>
      <c r="N49" s="318" t="str">
        <f>IFERROR(INDEX(NLProposedParam[#Data],MATCH(NLTable[[#This Row],[Index]],NLProposedParam[Var],0),MATCH(NLTable[[#This Row],[CalcMethod]],NLProposedParam[#Headers],0)),"")</f>
        <v/>
      </c>
      <c r="O49" s="529"/>
      <c r="P49" s="319"/>
      <c r="Q49" s="319"/>
      <c r="R49" s="319"/>
      <c r="S49" s="319"/>
      <c r="T49" s="319"/>
      <c r="U49" s="319"/>
      <c r="V49" s="320"/>
      <c r="W49" s="320"/>
      <c r="X49" s="320"/>
      <c r="Y49" s="320"/>
      <c r="Z49" s="320"/>
      <c r="AA49" s="320"/>
      <c r="AB49" s="320"/>
      <c r="AC49" s="320"/>
      <c r="AD49" s="320"/>
      <c r="AE49" s="320"/>
      <c r="AF49" s="320"/>
      <c r="AG49" s="320"/>
      <c r="AH49" s="320"/>
      <c r="AI49" s="320"/>
      <c r="AJ49" s="320"/>
      <c r="AK49" s="320"/>
      <c r="AL49" s="320"/>
      <c r="AM49" s="320"/>
      <c r="AN49" s="221"/>
      <c r="AO49" s="221"/>
      <c r="AP49" s="221"/>
      <c r="AQ49" s="221"/>
      <c r="AR49" s="221"/>
      <c r="AS49" s="221"/>
      <c r="AT49" s="221"/>
      <c r="AU49" s="223"/>
      <c r="AV49" s="314">
        <f>IF(NLTable[[#This Row],[Selected for Implementation]]="Yes",1,0)</f>
        <v>0</v>
      </c>
      <c r="AW49" s="314">
        <f>NLTable[[#This Row],[Implement]]*NLTable[[#This Row],[Total Rebate]]</f>
        <v>0</v>
      </c>
      <c r="AX49" s="314">
        <f>NLTable[[#This Row],[Implement]]*NLTable[[#This Row],[Electric Savings, kWh/yr]]</f>
        <v>0</v>
      </c>
      <c r="AY49" s="314">
        <f>NLTable[[#This Row],[Implement]]*NLTable[[#This Row],[Peak Demand Savings, kW]]</f>
        <v>0</v>
      </c>
      <c r="AZ49" s="314">
        <f>NLTable[[#This Row],[Implement]]*NLTable[[#This Row],[Nat. Gas Savings, GJ/yr]]</f>
        <v>0</v>
      </c>
      <c r="BA49" s="314">
        <f>NLTable[[#This Row],[Implement]]*NLTable[[#This Row],[Est. Energy Cost Savings, $]]</f>
        <v>0</v>
      </c>
      <c r="BB49" s="314">
        <f>NLTable[[#This Row],[Implement]]*NLTable[[#This Row],[GHG Reduction, tCO2e/yr]]</f>
        <v>0</v>
      </c>
      <c r="BC49" s="314">
        <f>IFERROR(NLTable[[#This Row],[GHG Reduction]]*INDEX(NLIndexTable[Persistence],MATCH(NLTable[[#This Row],[Unique Name]],NLIndexTable[Unique Name],0)),0)</f>
        <v>0</v>
      </c>
      <c r="BD49" s="314">
        <f>NLTable[[#This Row],[Implement]]*NLTable[[#This Row],[Total Capital Cost, $]]</f>
        <v>0</v>
      </c>
      <c r="BE49" s="321" t="str">
        <f>""</f>
        <v/>
      </c>
      <c r="BF49" s="314" t="str">
        <f>IF(NLTable[[#This Row],[Selected for Implementation]]="Yes",IF(NLTable[[#This Row],[No]]="","",NLTable[[#This Row],[Unique Name]]),"")</f>
        <v/>
      </c>
      <c r="BG49" s="617"/>
      <c r="BH49" s="647"/>
    </row>
    <row r="50" spans="1:60" ht="24.65" customHeight="1" x14ac:dyDescent="0.3">
      <c r="A50" s="479"/>
      <c r="B50" s="482"/>
      <c r="C50" s="322"/>
      <c r="D50" s="224">
        <f t="shared" ref="D50:J50" si="33">D48</f>
        <v>0</v>
      </c>
      <c r="E50" s="224">
        <f t="shared" si="33"/>
        <v>0</v>
      </c>
      <c r="F50" s="224" t="str">
        <f t="shared" si="33"/>
        <v/>
      </c>
      <c r="G50" s="224">
        <f t="shared" si="33"/>
        <v>0</v>
      </c>
      <c r="H50" s="224" t="str">
        <f t="shared" si="33"/>
        <v>Mech_-</v>
      </c>
      <c r="I50" s="224" t="str">
        <f t="shared" si="33"/>
        <v/>
      </c>
      <c r="J50" s="225" t="str">
        <f t="shared" si="33"/>
        <v/>
      </c>
      <c r="K50" s="316">
        <v>3</v>
      </c>
      <c r="L50" s="317" t="str">
        <f>IFERROR(INDEX(NLBaselineParam[#Data],MATCH(NLTable[[#This Row],[Index]],NLBaselineParam[Var],0),MATCH(NLTable[[#This Row],[CalcMethod]],NLBaselineParam[#Headers],0)),"")</f>
        <v/>
      </c>
      <c r="M50" s="529"/>
      <c r="N50" s="318" t="str">
        <f>IFERROR(INDEX(NLProposedParam[#Data],MATCH(NLTable[[#This Row],[Index]],NLProposedParam[Var],0),MATCH(NLTable[[#This Row],[CalcMethod]],NLProposedParam[#Headers],0)),"")</f>
        <v/>
      </c>
      <c r="O50" s="529"/>
      <c r="P50" s="319"/>
      <c r="Q50" s="319"/>
      <c r="R50" s="319"/>
      <c r="S50" s="319"/>
      <c r="T50" s="319"/>
      <c r="U50" s="319"/>
      <c r="V50" s="320"/>
      <c r="W50" s="320"/>
      <c r="X50" s="320"/>
      <c r="Y50" s="320"/>
      <c r="Z50" s="320"/>
      <c r="AA50" s="320"/>
      <c r="AB50" s="320"/>
      <c r="AC50" s="320"/>
      <c r="AD50" s="320"/>
      <c r="AE50" s="320"/>
      <c r="AF50" s="320"/>
      <c r="AG50" s="320"/>
      <c r="AH50" s="320"/>
      <c r="AI50" s="320"/>
      <c r="AJ50" s="320"/>
      <c r="AK50" s="320"/>
      <c r="AL50" s="320"/>
      <c r="AM50" s="320"/>
      <c r="AN50" s="224"/>
      <c r="AO50" s="224"/>
      <c r="AP50" s="224"/>
      <c r="AQ50" s="224"/>
      <c r="AR50" s="224"/>
      <c r="AS50" s="224"/>
      <c r="AT50" s="224"/>
      <c r="AU50" s="226"/>
      <c r="AV50" s="314">
        <f>IF(NLTable[[#This Row],[Selected for Implementation]]="Yes",1,0)</f>
        <v>0</v>
      </c>
      <c r="AW50" s="314">
        <f>NLTable[[#This Row],[Implement]]*NLTable[[#This Row],[Total Rebate]]</f>
        <v>0</v>
      </c>
      <c r="AX50" s="314">
        <f>NLTable[[#This Row],[Implement]]*NLTable[[#This Row],[Electric Savings, kWh/yr]]</f>
        <v>0</v>
      </c>
      <c r="AY50" s="314">
        <f>NLTable[[#This Row],[Implement]]*NLTable[[#This Row],[Peak Demand Savings, kW]]</f>
        <v>0</v>
      </c>
      <c r="AZ50" s="314">
        <f>NLTable[[#This Row],[Implement]]*NLTable[[#This Row],[Nat. Gas Savings, GJ/yr]]</f>
        <v>0</v>
      </c>
      <c r="BA50" s="314">
        <f>NLTable[[#This Row],[Implement]]*NLTable[[#This Row],[Est. Energy Cost Savings, $]]</f>
        <v>0</v>
      </c>
      <c r="BB50" s="314">
        <f>NLTable[[#This Row],[Implement]]*NLTable[[#This Row],[GHG Reduction, tCO2e/yr]]</f>
        <v>0</v>
      </c>
      <c r="BC50" s="314">
        <f>IFERROR(NLTable[[#This Row],[GHG Reduction]]*INDEX(NLIndexTable[Persistence],MATCH(NLTable[[#This Row],[Unique Name]],NLIndexTable[Unique Name],0)),0)</f>
        <v>0</v>
      </c>
      <c r="BD50" s="314">
        <f>NLTable[[#This Row],[Implement]]*NLTable[[#This Row],[Total Capital Cost, $]]</f>
        <v>0</v>
      </c>
      <c r="BE50" s="321" t="str">
        <f>""</f>
        <v/>
      </c>
      <c r="BF50" s="314" t="str">
        <f>IF(NLTable[[#This Row],[Selected for Implementation]]="Yes",IF(NLTable[[#This Row],[No]]="","",NLTable[[#This Row],[Unique Name]]),"")</f>
        <v/>
      </c>
      <c r="BG50" s="617"/>
      <c r="BH50" s="647"/>
    </row>
    <row r="51" spans="1:60" ht="24.65" customHeight="1" x14ac:dyDescent="0.3">
      <c r="A51" s="479"/>
      <c r="B51" s="482"/>
      <c r="C51" s="322"/>
      <c r="D51" s="224">
        <f t="shared" ref="D51:J51" si="34">D48</f>
        <v>0</v>
      </c>
      <c r="E51" s="224">
        <f t="shared" si="34"/>
        <v>0</v>
      </c>
      <c r="F51" s="224" t="str">
        <f t="shared" si="34"/>
        <v/>
      </c>
      <c r="G51" s="224">
        <f t="shared" si="34"/>
        <v>0</v>
      </c>
      <c r="H51" s="224" t="str">
        <f t="shared" si="34"/>
        <v>Mech_-</v>
      </c>
      <c r="I51" s="224" t="str">
        <f t="shared" si="34"/>
        <v/>
      </c>
      <c r="J51" s="225" t="str">
        <f t="shared" si="34"/>
        <v/>
      </c>
      <c r="K51" s="316">
        <v>4</v>
      </c>
      <c r="L51" s="317" t="str">
        <f>IFERROR(INDEX(NLBaselineParam[#Data],MATCH(NLTable[[#This Row],[Index]],NLBaselineParam[Var],0),MATCH(NLTable[[#This Row],[CalcMethod]],NLBaselineParam[#Headers],0)),"")</f>
        <v/>
      </c>
      <c r="M51" s="529"/>
      <c r="N51" s="318" t="str">
        <f>IFERROR(INDEX(NLProposedParam[#Data],MATCH(NLTable[[#This Row],[Index]],NLProposedParam[Var],0),MATCH(NLTable[[#This Row],[CalcMethod]],NLProposedParam[#Headers],0)),"")</f>
        <v/>
      </c>
      <c r="O51" s="529"/>
      <c r="P51" s="319"/>
      <c r="Q51" s="319"/>
      <c r="R51" s="319"/>
      <c r="S51" s="319"/>
      <c r="T51" s="319"/>
      <c r="U51" s="319"/>
      <c r="V51" s="320"/>
      <c r="W51" s="320"/>
      <c r="X51" s="320"/>
      <c r="Y51" s="320"/>
      <c r="Z51" s="320"/>
      <c r="AA51" s="320"/>
      <c r="AB51" s="320"/>
      <c r="AC51" s="320"/>
      <c r="AD51" s="320"/>
      <c r="AE51" s="320"/>
      <c r="AF51" s="320"/>
      <c r="AG51" s="320"/>
      <c r="AH51" s="320"/>
      <c r="AI51" s="320"/>
      <c r="AJ51" s="320"/>
      <c r="AK51" s="320"/>
      <c r="AL51" s="320"/>
      <c r="AM51" s="320"/>
      <c r="AN51" s="224"/>
      <c r="AO51" s="224"/>
      <c r="AP51" s="224"/>
      <c r="AQ51" s="224"/>
      <c r="AR51" s="224"/>
      <c r="AS51" s="224"/>
      <c r="AT51" s="224"/>
      <c r="AU51" s="226"/>
      <c r="AV51" s="314">
        <f>IF(NLTable[[#This Row],[Selected for Implementation]]="Yes",1,0)</f>
        <v>0</v>
      </c>
      <c r="AW51" s="314">
        <f>NLTable[[#This Row],[Implement]]*NLTable[[#This Row],[Total Rebate]]</f>
        <v>0</v>
      </c>
      <c r="AX51" s="314">
        <f>NLTable[[#This Row],[Implement]]*NLTable[[#This Row],[Electric Savings, kWh/yr]]</f>
        <v>0</v>
      </c>
      <c r="AY51" s="314">
        <f>NLTable[[#This Row],[Implement]]*NLTable[[#This Row],[Peak Demand Savings, kW]]</f>
        <v>0</v>
      </c>
      <c r="AZ51" s="314">
        <f>NLTable[[#This Row],[Implement]]*NLTable[[#This Row],[Nat. Gas Savings, GJ/yr]]</f>
        <v>0</v>
      </c>
      <c r="BA51" s="314">
        <f>NLTable[[#This Row],[Implement]]*NLTable[[#This Row],[Est. Energy Cost Savings, $]]</f>
        <v>0</v>
      </c>
      <c r="BB51" s="314">
        <f>NLTable[[#This Row],[Implement]]*NLTable[[#This Row],[GHG Reduction, tCO2e/yr]]</f>
        <v>0</v>
      </c>
      <c r="BC51" s="314">
        <f>IFERROR(NLTable[[#This Row],[GHG Reduction]]*INDEX(NLIndexTable[Persistence],MATCH(NLTable[[#This Row],[Unique Name]],NLIndexTable[Unique Name],0)),0)</f>
        <v>0</v>
      </c>
      <c r="BD51" s="314">
        <f>NLTable[[#This Row],[Implement]]*NLTable[[#This Row],[Total Capital Cost, $]]</f>
        <v>0</v>
      </c>
      <c r="BE51" s="321" t="str">
        <f>""</f>
        <v/>
      </c>
      <c r="BF51" s="314" t="str">
        <f>IF(NLTable[[#This Row],[Selected for Implementation]]="Yes",IF(NLTable[[#This Row],[No]]="","",NLTable[[#This Row],[Unique Name]]),"")</f>
        <v/>
      </c>
      <c r="BG51" s="617"/>
      <c r="BH51" s="647"/>
    </row>
    <row r="52" spans="1:60" s="230" customFormat="1" ht="24.65" customHeight="1" thickBot="1" x14ac:dyDescent="0.35">
      <c r="A52" s="479"/>
      <c r="B52" s="483"/>
      <c r="C52" s="323"/>
      <c r="D52" s="227">
        <f t="shared" ref="D52:J52" si="35">D48</f>
        <v>0</v>
      </c>
      <c r="E52" s="227">
        <f t="shared" si="35"/>
        <v>0</v>
      </c>
      <c r="F52" s="227" t="str">
        <f t="shared" si="35"/>
        <v/>
      </c>
      <c r="G52" s="227">
        <f t="shared" si="35"/>
        <v>0</v>
      </c>
      <c r="H52" s="227" t="str">
        <f t="shared" si="35"/>
        <v>Mech_-</v>
      </c>
      <c r="I52" s="227" t="str">
        <f t="shared" si="35"/>
        <v/>
      </c>
      <c r="J52" s="228" t="str">
        <f t="shared" si="35"/>
        <v/>
      </c>
      <c r="K52" s="324">
        <v>5</v>
      </c>
      <c r="L52" s="325" t="str">
        <f>IFERROR(INDEX(NLBaselineParam[#Data],MATCH(NLTable[[#This Row],[Index]],NLBaselineParam[Var],0),MATCH(NLTable[[#This Row],[CalcMethod]],NLBaselineParam[#Headers],0)),"")</f>
        <v/>
      </c>
      <c r="M52" s="530"/>
      <c r="N52" s="326" t="str">
        <f>IFERROR(INDEX(NLProposedParam[#Data],MATCH(NLTable[[#This Row],[Index]],NLProposedParam[Var],0),MATCH(NLTable[[#This Row],[CalcMethod]],NLProposedParam[#Headers],0)),"")</f>
        <v/>
      </c>
      <c r="O52" s="530"/>
      <c r="P52" s="327"/>
      <c r="Q52" s="327"/>
      <c r="R52" s="327"/>
      <c r="S52" s="327"/>
      <c r="T52" s="327"/>
      <c r="U52" s="327"/>
      <c r="V52" s="328"/>
      <c r="W52" s="328"/>
      <c r="X52" s="328"/>
      <c r="Y52" s="328"/>
      <c r="Z52" s="328"/>
      <c r="AA52" s="328"/>
      <c r="AB52" s="328"/>
      <c r="AC52" s="328"/>
      <c r="AD52" s="328"/>
      <c r="AE52" s="328"/>
      <c r="AF52" s="328"/>
      <c r="AG52" s="328"/>
      <c r="AH52" s="328"/>
      <c r="AI52" s="328"/>
      <c r="AJ52" s="328"/>
      <c r="AK52" s="328"/>
      <c r="AL52" s="328"/>
      <c r="AM52" s="328"/>
      <c r="AN52" s="227"/>
      <c r="AO52" s="227"/>
      <c r="AP52" s="227"/>
      <c r="AQ52" s="227"/>
      <c r="AR52" s="227"/>
      <c r="AS52" s="227"/>
      <c r="AT52" s="227"/>
      <c r="AU52" s="229"/>
      <c r="AV52" s="314">
        <f>IF(NLTable[[#This Row],[Selected for Implementation]]="Yes",1,0)</f>
        <v>0</v>
      </c>
      <c r="AW52" s="314">
        <f>NLTable[[#This Row],[Implement]]*NLTable[[#This Row],[Total Rebate]]</f>
        <v>0</v>
      </c>
      <c r="AX52" s="314">
        <f>NLTable[[#This Row],[Implement]]*NLTable[[#This Row],[Electric Savings, kWh/yr]]</f>
        <v>0</v>
      </c>
      <c r="AY52" s="314">
        <f>NLTable[[#This Row],[Implement]]*NLTable[[#This Row],[Peak Demand Savings, kW]]</f>
        <v>0</v>
      </c>
      <c r="AZ52" s="314">
        <f>NLTable[[#This Row],[Implement]]*NLTable[[#This Row],[Nat. Gas Savings, GJ/yr]]</f>
        <v>0</v>
      </c>
      <c r="BA52" s="314">
        <f>NLTable[[#This Row],[Implement]]*NLTable[[#This Row],[Est. Energy Cost Savings, $]]</f>
        <v>0</v>
      </c>
      <c r="BB52" s="314">
        <f>NLTable[[#This Row],[Implement]]*NLTable[[#This Row],[GHG Reduction, tCO2e/yr]]</f>
        <v>0</v>
      </c>
      <c r="BC52" s="314">
        <f>IFERROR(NLTable[[#This Row],[GHG Reduction]]*INDEX(NLIndexTable[Persistence],MATCH(NLTable[[#This Row],[Unique Name]],NLIndexTable[Unique Name],0)),0)</f>
        <v>0</v>
      </c>
      <c r="BD52" s="314">
        <f>NLTable[[#This Row],[Implement]]*NLTable[[#This Row],[Total Capital Cost, $]]</f>
        <v>0</v>
      </c>
      <c r="BE52" s="321" t="str">
        <f>""</f>
        <v/>
      </c>
      <c r="BF52" s="314" t="str">
        <f>IF(NLTable[[#This Row],[Selected for Implementation]]="Yes",IF(NLTable[[#This Row],[No]]="","",NLTable[[#This Row],[Unique Name]]),"")</f>
        <v/>
      </c>
      <c r="BG52" s="617"/>
      <c r="BH52" s="648"/>
    </row>
    <row r="53" spans="1:60" s="220" customFormat="1" ht="24.65" customHeight="1" x14ac:dyDescent="0.3">
      <c r="A53" s="479"/>
      <c r="B53" s="480" t="str">
        <f>IF(NLTable[[#This Row],[Baseline equipment energy source (or heating source for envelope measures)]]="","","NL-"&amp;(ROW(B53)-3)/5)</f>
        <v/>
      </c>
      <c r="C53" s="48"/>
      <c r="D53" s="48"/>
      <c r="E53" s="48"/>
      <c r="F53" s="303" t="str">
        <f>IF(ISBLANK(NLTable[[#This Row],[Baseline equipment energy source (or heating source for envelope measures)]]),"",IF(NLTable[[#This Row],[Baseline equipment energy source (or heating source for envelope measures)]]="Electricity", "EE", "LCE"))</f>
        <v/>
      </c>
      <c r="G53" s="49"/>
      <c r="H53" s="219" t="str">
        <f>"Mech_"&amp;NLTable[[#This Row],[Measure Type (Energy Efficiency or Low Carbon Electrification)]]&amp;"-"&amp;NLTable[[#This Row],[Energy Measure]]</f>
        <v>Mech_-</v>
      </c>
      <c r="I53" s="304" t="str">
        <f>IF(NLTable[[#This Row],[End-Use]]="","",INDEX(NLIndexTable[CalcMethod],MATCH(NLTable[[#This Row],[Energy Measure]],NLIndexTable[BCH Rerofit Technology],0)))</f>
        <v/>
      </c>
      <c r="J53" s="305" t="str">
        <f>IFERROR(INDEX(NLIndexTable[BC Hydro pu],MATCH(NLTable[[#This Row],[Unique Name]],NLIndexTable[Unique Name],0)),"")</f>
        <v/>
      </c>
      <c r="K53" s="306">
        <v>1</v>
      </c>
      <c r="L53" s="307" t="str">
        <f>IFERROR(INDEX(NLBaselineParam[#Data],MATCH(NLTable[[#This Row],[Index]],NLBaselineParam[Var],0),MATCH(NLTable[[#This Row],[CalcMethod]],NLBaselineParam[#Headers],0)),"")</f>
        <v/>
      </c>
      <c r="M53" s="528"/>
      <c r="N53" s="308" t="str">
        <f>IFERROR(INDEX(NLProposedParam[#Data],MATCH(NLTable[[#This Row],[Index]],NLProposedParam[Var],0),MATCH(NLTable[[#This Row],[CalcMethod]],NLProposedParam[#Headers],0)),"")</f>
        <v/>
      </c>
      <c r="O53" s="528"/>
      <c r="P53" s="309" t="str">
        <f>IF(NLTable[[#This Row],[CalcMethod]]="DHW",IF(NLTable[[#This Row],[Rebate Unit]]="per unit",M54*INDEX(NLIndexTable[BC Hydro Rebate],MATCH(NLTable[[#This Row],[Unique Name]],NLIndexTable[Unique Name],0)),M53*INDEX(NLIndexTable[BC Hydro Rebate],MATCH(NLTable[[#This Row],[Unique Name]],NLIndexTable[Unique Name],0))),"")</f>
        <v/>
      </c>
      <c r="Q53" s="309" t="str">
        <f>IF(NLTable[[#This Row],[CalcMethod]]="Windows",MIN(INDEX(NLIndexTable[BC Hydro Rebate],MATCH(NLTable[[#This Row],[Unique Name]],NLIndexTable[Unique Name],0))*O54,NLTable[[#This Row],[Retrofit Values]]*1200),IF(NLTable[[#This Row],[CalcMethod]]="Envelope",INDEX(NLIndexTable[BC Hydro Rebate],MATCH(NLTable[[#This Row],[Unique Name]],NLIndexTable[Unique Name],0))*O54,""))</f>
        <v/>
      </c>
      <c r="R53" s="309" t="str">
        <f>IF(NLTable[[#This Row],[End-Use]]="HVAC",IF(NLTable[[#This Row],[CalcMethod]]="HVAC-MUA",O54*INDEX(NLIndexTable[BC Hydro Rebate],MATCH(NLTable[[#This Row],[Unique Name]],NLIndexTable[Unique Name],0)),O53*INDEX(NLIndexTable[BC Hydro Rebate],MATCH(NLTable[[#This Row],[Unique Name]],NLIndexTable[Unique Name],0))),"")</f>
        <v/>
      </c>
      <c r="S53" s="309" t="str">
        <f>IF(NLTable[[#This Row],[Measure Type (Energy Efficiency or Low Carbon Electrification)]]="EE",IF(NLTable[[#This Row],[CalcMethod]]="Commercial Kitchen",O53*INDEX(NLIndexTable[BC Hydro Rebate],MATCH(NLTable[[#This Row],[Unique Name]],NLIndexTable[Unique Name],0)),""),"")</f>
        <v/>
      </c>
      <c r="T53" s="309" t="str">
        <f>IF(NLTable[[#This Row],[CalcMethod]]="Mechanical",IF(NLTable[[#This Row],[Rebate Unit]]="per unit",M54*INDEX(NLIndexTable[BC Hydro Rebate],MATCH(NLTable[[#This Row],[Unique Name]],NLIndexTable[Unique Name],0)),M54*M53*INDEX(NLIndexTable[BC Hydro Rebate],MATCH(NLTable[[#This Row],[Unique Name]],NLIndexTable[Unique Name],0))),"")</f>
        <v/>
      </c>
      <c r="U53" s="309" t="str">
        <f>IF(NLTable[[#This Row],[CalcMethod]]="Refrigeration",O53*INDEX(NLIndexTable[BC Hydro Rebate],MATCH(NLTable[[#This Row],[Unique Name]],NLIndexTable[Unique Name],0)),"")</f>
        <v/>
      </c>
      <c r="V53" s="310" t="str">
        <f>IF(NLTable[[#This Row],[CalcMethod]]="DHW",INDEX(NLIndexTable[Elec Savings kWh],MATCH(NLTable[[#This Row],[Unique Name]],NLIndexTable[Unique Name],0))*M53,"")</f>
        <v/>
      </c>
      <c r="W53" s="310" t="str">
        <f>IF(NLTable[[#This Row],[CalcMethod]]="DHW",INDEX(NLIndexTable[kW Savings],MATCH(NLTable[[#This Row],[Unique Name]],NLIndexTable[Unique Name],0))*M53,"")</f>
        <v/>
      </c>
      <c r="X53" s="310" t="str">
        <f>IF(NLTable[[#This Row],[CalcMethod]]="DHW",INDEX(NLIndexTable[Gas Savings kWh],MATCH(NLTable[[#This Row],[Unique Name]],NLIndexTable[Unique Name],0))*M53/277.78,"")</f>
        <v/>
      </c>
      <c r="Y53" s="310" t="str">
        <f>IF(NLTable[[#This Row],[CalcMethod]]="Envelope",INDEX(NLIndexTable[Elec Savings kWh],MATCH(NLTable[[#This Row],[Unique Name]],NLIndexTable[Unique Name],0))*M53/100,IF(NLTable[[#This Row],[CalcMethod]]="Windows",INDEX(NLIndexTable[Elec Savings kWh],MATCH(NLTable[[#This Row],[Unique Name]],NLIndexTable[Unique Name],0))*M53/100,""))</f>
        <v/>
      </c>
      <c r="Z53" s="310"/>
      <c r="AA53" s="310"/>
      <c r="AB53" s="310" t="str">
        <f>IF(OR(NLTable[[#This Row],[CalcMethod]]="HVAC-HP-Heads",NLTable[[#This Row],[CalcMethod]]="HVAC-HP-Suite",NLTable[[#This Row],[CalcMethod]]="HVAC-HP-Tons",NLTable[[#This Row],[CalcMethod]]="HVAC-PTHP",NLTable[[#This Row],[CalcMethod]]="HVAC-MUA"),INDEX(NLIndexTable[Elec Savings kWh],MATCH(NLTable[[#This Row],[Unique Name]],NLIndexTable[Unique Name],0))*M53*'Project Info'!$C$69*IF(NLTable[[#This Row],[CalcMethod]]="HVAC-MUA",1,MIN(O54*'Project Info'!$H$118/(NLTable[[#This Row],[Baseline Values]]*'Project Info'!$C$69*'Project Info'!$D$97*3.41/1000),1)),"")</f>
        <v/>
      </c>
      <c r="AC53" s="310" t="str">
        <f>IF(OR(NLTable[[#This Row],[CalcMethod]]="HVAC-HP-Heads",NLTable[[#This Row],[CalcMethod]]="HVAC-HP-Suite",NLTable[[#This Row],[CalcMethod]]="HVAC-HP-Tons",NLTable[[#This Row],[CalcMethod]]="HVAC-PTHP",NLTable[[#This Row],[CalcMethod]]="HVAC-MUA"),INDEX(NLIndexTable[kW Savings],MATCH(NLTable[[#This Row],[Unique Name]],NLIndexTable[Unique Name],0))*M53*'Project Info'!$C$69*IF(NLTable[[#This Row],[CalcMethod]]="HVAC-MUA",1,MIN(O54*'Project Info'!$H$118/(NLTable[[#This Row],[Baseline Values]]*'Project Info'!$C$69*'Project Info'!$D$97*3.41/1000),1)),"")</f>
        <v/>
      </c>
      <c r="AD53" s="310" t="str">
        <f>IF(AND(OR(NLTable[[#This Row],[CalcMethod]]="HVAC-HP-Heads",NLTable[[#This Row],[CalcMethod]]="HVAC-HP-Suite",NLTable[[#This Row],[CalcMethod]]="HVAC-HP-Tons",NLTable[[#This Row],[CalcMethod]]="HVAC-PTHP",NLTable[[#This Row],[CalcMethod]]="HVAC-MUA"),NLTable[[#This Row],[Measure Type (Energy Efficiency or Low Carbon Electrification)]]="LCE"),INDEX(NLIndexTable[Gas Savings kWh],MATCH(NLTable[[#This Row],[Unique Name]],NLIndexTable[Unique Name],0))*M53*'Project Info'!$C$69*IF(NLTable[[#This Row],[CalcMethod]]="HVAC-MUA",1,MIN(O54*'Project Info'!$H$118/(NLTable[[#This Row],[Baseline Values]]*'Project Info'!$C$69*'Project Info'!$D$97*3.41/1000),1))/277.78,"")</f>
        <v/>
      </c>
      <c r="AE53" s="310" t="str">
        <f>IF(NLTable[[#This Row],[CalcMethod]]="Commercial Kitchen",INDEX(NLIndexTable[Elec Savings kWh],MATCH(NLTable[[#This Row],[Unique Name]],NLIndexTable[Unique Name],0))*O53,"")</f>
        <v/>
      </c>
      <c r="AF53" s="310" t="str">
        <f>IF(NLTable[[#This Row],[CalcMethod]]="Commercial Kitchen",IF(NLTable[[#This Row],[Measure Type (Energy Efficiency or Low Carbon Electrification)]]="LCE",-1*O54*NLTable[[#This Row],[Retrofit Values]],NLTable[[#This Row],[Baseline Values]]*M54-NLTable[[#This Row],[Retrofit Values]]*O54),"")</f>
        <v/>
      </c>
      <c r="AG53" s="310" t="str">
        <f>IF(NLTable[[#This Row],[CalcMethod]]="Commercial Kitchen",INDEX(NLIndexTable[Gas Savings kWh],MATCH(NLTable[[#This Row],[Unique Name]],NLIndexTable[Unique Name],0))*O53,"")</f>
        <v/>
      </c>
      <c r="AH53" s="310" t="str">
        <f>IF(NLTable[[#This Row],[CalcMethod]]="Mechanical",IF(NLTable[[#This Row],[Unique Name]]="Mech_EE-Parkade CO - HVAC Controls",NLTable[[#This Row],[Baseline Values]]*0.7457*M54*(M55-O53),(NLTable[[#This Row],[Baseline Values]]*M54*0.7457*M55)-(NLTable[[#This Row],[Baseline Values]]*M54*0.7457*0.75^2.5*O53)),"")</f>
        <v/>
      </c>
      <c r="AI53" s="310"/>
      <c r="AJ53" s="310"/>
      <c r="AK53" s="310" t="str">
        <f>IF(OR(NLTable[[#This Row],[CalcMethod]]="Refrigeration",NLTable[[#This Row],[CalcMethod]]="Refrig-cases"),INDEX(NLIndexTable[Elec Savings kWh],MATCH(NLTable[[#This Row],[Unique Name]],NLIndexTable[Unique Name],0))*O53,"")</f>
        <v/>
      </c>
      <c r="AL53" s="310" t="str">
        <f>IF(NLTable[[#This Row],[CalcMethod]]="Refrigeration",NLTable[[#This Row],[Baseline Values]]*M54-NLTable[[#This Row],[Retrofit Values]]*O54,"")</f>
        <v/>
      </c>
      <c r="AM53" s="310"/>
      <c r="AN53" s="311">
        <f>MIN(SUM(NLTable[[#This Row],[DHW]:[Refrig]]),NLTable[[#This Row],[Total Capital Cost, $]])</f>
        <v>0</v>
      </c>
      <c r="AO53" s="312">
        <f>SUM(NLTable[[#This Row],[DHW-kWh]],NLTable[[#This Row],[Env-kWH]],NLTable[[#This Row],[HVAC-kWH]],NLTable[[#This Row],[CK-kWH]],NLTable[[#This Row],[Mech-kWh]],NLTable[[#This Row],[Refg-kWh]])</f>
        <v>0</v>
      </c>
      <c r="AP53" s="312">
        <f>SUM(NLTable[[#This Row],[DHW-kW]],NLTable[[#This Row],[Env-kW]],NLTable[[#This Row],[HVAC-kW]],NLTable[[#This Row],[CK-kW]],NLTable[[#This Row],[Mech-kW]],NLTable[[#This Row],[Refg-kW]])</f>
        <v>0</v>
      </c>
      <c r="AQ53" s="312">
        <f>SUM(NLTable[[#This Row],[DHW-GJ]],NLTable[[#This Row],[Env-GJ]],NLTable[[#This Row],[HVAC-GJ]],NLTable[[#This Row],[CK-GJ]],NLTable[[#This Row],[Mech-GJ]],NLTable[[#This Row],[Refg-GJ]])</f>
        <v>0</v>
      </c>
      <c r="AR53" s="311" t="e">
        <f>NLTable[[#This Row],[Electric Savings, kWh/yr]]*IF(OR(LEFT(NLTable[[#This Row],[Energy Measure]],8)="In-suite",LEFT(NLTable[[#This Row],[Energy Measure]],12)="Cold climate"),NLsRate,NLeRate)+NLTable[[#This Row],[Peak Demand Savings, kW]]*IF(OR(LEFT(NLTable[[#This Row],[Energy Measure]],8)="In-suite",LEFT(NLTable[[#This Row],[Energy Measure]],12)="Cold climate"),NLsDemand,NLeDemand)+NLTable[[#This Row],[Nat. Gas Savings, GJ/yr]]*NLgRate</f>
        <v>#N/A</v>
      </c>
      <c r="AS53" s="312">
        <f>NLTable[[#This Row],[Nat. Gas Savings, GJ/yr]]*50/1000</f>
        <v>0</v>
      </c>
      <c r="AT53" s="312" cm="1">
        <f t="array" ref="AT53">SUM(IF(N53:N57="Total Capital Cost ($)",O53:O57,0))</f>
        <v>0</v>
      </c>
      <c r="AU53" s="313" t="str">
        <f>IFERROR(IF((NLTable[[#This Row],[Total Capital Cost, $]]-NLTable[[#This Row],[Total Rebate]])/NLTable[[#This Row],[Est. Energy Cost Savings, $]]&gt;0,(NLTable[[#This Row],[Total Capital Cost, $]]-NLTable[[#This Row],[Total Rebate]])/NLTable[[#This Row],[Est. Energy Cost Savings, $]],"No Payback"),"")</f>
        <v/>
      </c>
      <c r="AV53" s="314">
        <f>IF(NLTable[[#This Row],[Selected for Implementation]]="Yes",1,0)</f>
        <v>0</v>
      </c>
      <c r="AW53" s="314">
        <f>NLTable[[#This Row],[Implement]]*NLTable[[#This Row],[Total Rebate]]</f>
        <v>0</v>
      </c>
      <c r="AX53" s="314">
        <f>NLTable[[#This Row],[Implement]]*NLTable[[#This Row],[Electric Savings, kWh/yr]]</f>
        <v>0</v>
      </c>
      <c r="AY53" s="314">
        <f>NLTable[[#This Row],[Implement]]*NLTable[[#This Row],[Peak Demand Savings, kW]]</f>
        <v>0</v>
      </c>
      <c r="AZ53" s="314">
        <f>NLTable[[#This Row],[Implement]]*NLTable[[#This Row],[Nat. Gas Savings, GJ/yr]]</f>
        <v>0</v>
      </c>
      <c r="BA53" s="314" t="e">
        <f>NLTable[[#This Row],[Implement]]*NLTable[[#This Row],[Est. Energy Cost Savings, $]]</f>
        <v>#N/A</v>
      </c>
      <c r="BB53" s="314">
        <f>NLTable[[#This Row],[Implement]]*NLTable[[#This Row],[GHG Reduction, tCO2e/yr]]</f>
        <v>0</v>
      </c>
      <c r="BC53" s="314">
        <f>IFERROR(NLTable[[#This Row],[GHG Reduction]]*INDEX(NLIndexTable[Persistence],MATCH(NLTable[[#This Row],[Unique Name]],NLIndexTable[Unique Name],0)),0)</f>
        <v>0</v>
      </c>
      <c r="BD53" s="314">
        <f>NLTable[[#This Row],[Implement]]*NLTable[[#This Row],[Total Capital Cost, $]]</f>
        <v>0</v>
      </c>
      <c r="BE53" s="314" t="str">
        <f>IFERROR(INDEX(NLIndexTable[Equivalent xRM ECM],MATCH(NLTable[[#This Row],[Concatenate]],NLIndexTable[Unique Name],0)),"")</f>
        <v/>
      </c>
      <c r="BF53" s="314" t="str">
        <f>IF(NLTable[[#This Row],[Selected for Implementation]]="Yes",IF(NLTable[[#This Row],[No]]="","",NLTable[[#This Row],[Unique Name]]),"")</f>
        <v/>
      </c>
      <c r="BG53" s="617" cm="1">
        <f t="array" ref="BG53">IFERROR(IF(NLTable[[#This Row],[Implement]],SUM(IF(N53:N57="Total Area of Glazing Installed (ft2)",O53:O57,0)),0),0)</f>
        <v>0</v>
      </c>
      <c r="BH53" s="646"/>
    </row>
    <row r="54" spans="1:60" ht="24.65" customHeight="1" x14ac:dyDescent="0.3">
      <c r="A54" s="479"/>
      <c r="B54" s="481"/>
      <c r="C54" s="315"/>
      <c r="D54" s="221">
        <f t="shared" ref="D54:J54" si="36">D53</f>
        <v>0</v>
      </c>
      <c r="E54" s="221">
        <f t="shared" si="36"/>
        <v>0</v>
      </c>
      <c r="F54" s="221" t="str">
        <f t="shared" si="36"/>
        <v/>
      </c>
      <c r="G54" s="221">
        <f t="shared" si="36"/>
        <v>0</v>
      </c>
      <c r="H54" s="221" t="str">
        <f t="shared" si="36"/>
        <v>Mech_-</v>
      </c>
      <c r="I54" s="221" t="str">
        <f t="shared" si="36"/>
        <v/>
      </c>
      <c r="J54" s="222" t="str">
        <f t="shared" si="36"/>
        <v/>
      </c>
      <c r="K54" s="316">
        <v>2</v>
      </c>
      <c r="L54" s="317" t="str">
        <f>IFERROR(INDEX(NLBaselineParam[#Data],MATCH(NLTable[[#This Row],[Index]],NLBaselineParam[Var],0),MATCH(NLTable[[#This Row],[CalcMethod]],NLBaselineParam[#Headers],0)),"")</f>
        <v/>
      </c>
      <c r="M54" s="529"/>
      <c r="N54" s="318" t="str">
        <f>IFERROR(INDEX(NLProposedParam[#Data],MATCH(NLTable[[#This Row],[Index]],NLProposedParam[Var],0),MATCH(NLTable[[#This Row],[CalcMethod]],NLProposedParam[#Headers],0)),"")</f>
        <v/>
      </c>
      <c r="O54" s="529"/>
      <c r="P54" s="319"/>
      <c r="Q54" s="319"/>
      <c r="R54" s="319"/>
      <c r="S54" s="319"/>
      <c r="T54" s="319"/>
      <c r="U54" s="319"/>
      <c r="V54" s="320"/>
      <c r="W54" s="320"/>
      <c r="X54" s="320"/>
      <c r="Y54" s="320"/>
      <c r="Z54" s="320"/>
      <c r="AA54" s="320"/>
      <c r="AB54" s="320"/>
      <c r="AC54" s="320"/>
      <c r="AD54" s="320"/>
      <c r="AE54" s="320"/>
      <c r="AF54" s="320"/>
      <c r="AG54" s="320"/>
      <c r="AH54" s="320"/>
      <c r="AI54" s="320"/>
      <c r="AJ54" s="320"/>
      <c r="AK54" s="320"/>
      <c r="AL54" s="320"/>
      <c r="AM54" s="320"/>
      <c r="AN54" s="221"/>
      <c r="AO54" s="221"/>
      <c r="AP54" s="221"/>
      <c r="AQ54" s="221"/>
      <c r="AR54" s="221"/>
      <c r="AS54" s="221"/>
      <c r="AT54" s="221"/>
      <c r="AU54" s="223"/>
      <c r="AV54" s="314">
        <f>IF(NLTable[[#This Row],[Selected for Implementation]]="Yes",1,0)</f>
        <v>0</v>
      </c>
      <c r="AW54" s="314">
        <f>NLTable[[#This Row],[Implement]]*NLTable[[#This Row],[Total Rebate]]</f>
        <v>0</v>
      </c>
      <c r="AX54" s="314">
        <f>NLTable[[#This Row],[Implement]]*NLTable[[#This Row],[Electric Savings, kWh/yr]]</f>
        <v>0</v>
      </c>
      <c r="AY54" s="314">
        <f>NLTable[[#This Row],[Implement]]*NLTable[[#This Row],[Peak Demand Savings, kW]]</f>
        <v>0</v>
      </c>
      <c r="AZ54" s="314">
        <f>NLTable[[#This Row],[Implement]]*NLTable[[#This Row],[Nat. Gas Savings, GJ/yr]]</f>
        <v>0</v>
      </c>
      <c r="BA54" s="314">
        <f>NLTable[[#This Row],[Implement]]*NLTable[[#This Row],[Est. Energy Cost Savings, $]]</f>
        <v>0</v>
      </c>
      <c r="BB54" s="314">
        <f>NLTable[[#This Row],[Implement]]*NLTable[[#This Row],[GHG Reduction, tCO2e/yr]]</f>
        <v>0</v>
      </c>
      <c r="BC54" s="314">
        <f>IFERROR(NLTable[[#This Row],[GHG Reduction]]*INDEX(NLIndexTable[Persistence],MATCH(NLTable[[#This Row],[Unique Name]],NLIndexTable[Unique Name],0)),0)</f>
        <v>0</v>
      </c>
      <c r="BD54" s="314">
        <f>NLTable[[#This Row],[Implement]]*NLTable[[#This Row],[Total Capital Cost, $]]</f>
        <v>0</v>
      </c>
      <c r="BE54" s="321" t="str">
        <f>""</f>
        <v/>
      </c>
      <c r="BF54" s="314" t="str">
        <f>IF(NLTable[[#This Row],[Selected for Implementation]]="Yes",IF(NLTable[[#This Row],[No]]="","",NLTable[[#This Row],[Unique Name]]),"")</f>
        <v/>
      </c>
      <c r="BG54" s="617"/>
      <c r="BH54" s="647"/>
    </row>
    <row r="55" spans="1:60" ht="24.65" customHeight="1" x14ac:dyDescent="0.3">
      <c r="A55" s="479"/>
      <c r="B55" s="482"/>
      <c r="C55" s="322"/>
      <c r="D55" s="224">
        <f t="shared" ref="D55:J55" si="37">D53</f>
        <v>0</v>
      </c>
      <c r="E55" s="224">
        <f t="shared" si="37"/>
        <v>0</v>
      </c>
      <c r="F55" s="224" t="str">
        <f t="shared" si="37"/>
        <v/>
      </c>
      <c r="G55" s="224">
        <f t="shared" si="37"/>
        <v>0</v>
      </c>
      <c r="H55" s="224" t="str">
        <f t="shared" si="37"/>
        <v>Mech_-</v>
      </c>
      <c r="I55" s="224" t="str">
        <f t="shared" si="37"/>
        <v/>
      </c>
      <c r="J55" s="225" t="str">
        <f t="shared" si="37"/>
        <v/>
      </c>
      <c r="K55" s="316">
        <v>3</v>
      </c>
      <c r="L55" s="317" t="str">
        <f>IFERROR(INDEX(NLBaselineParam[#Data],MATCH(NLTable[[#This Row],[Index]],NLBaselineParam[Var],0),MATCH(NLTable[[#This Row],[CalcMethod]],NLBaselineParam[#Headers],0)),"")</f>
        <v/>
      </c>
      <c r="M55" s="529"/>
      <c r="N55" s="318" t="str">
        <f>IFERROR(INDEX(NLProposedParam[#Data],MATCH(NLTable[[#This Row],[Index]],NLProposedParam[Var],0),MATCH(NLTable[[#This Row],[CalcMethod]],NLProposedParam[#Headers],0)),"")</f>
        <v/>
      </c>
      <c r="O55" s="529"/>
      <c r="P55" s="319"/>
      <c r="Q55" s="319"/>
      <c r="R55" s="319"/>
      <c r="S55" s="319"/>
      <c r="T55" s="319"/>
      <c r="U55" s="319"/>
      <c r="V55" s="320"/>
      <c r="W55" s="320"/>
      <c r="X55" s="320"/>
      <c r="Y55" s="320"/>
      <c r="Z55" s="320"/>
      <c r="AA55" s="320"/>
      <c r="AB55" s="320"/>
      <c r="AC55" s="320"/>
      <c r="AD55" s="320"/>
      <c r="AE55" s="320"/>
      <c r="AF55" s="320"/>
      <c r="AG55" s="320"/>
      <c r="AH55" s="320"/>
      <c r="AI55" s="320"/>
      <c r="AJ55" s="320"/>
      <c r="AK55" s="320"/>
      <c r="AL55" s="320"/>
      <c r="AM55" s="320"/>
      <c r="AN55" s="224"/>
      <c r="AO55" s="224"/>
      <c r="AP55" s="224"/>
      <c r="AQ55" s="224"/>
      <c r="AR55" s="224"/>
      <c r="AS55" s="224"/>
      <c r="AT55" s="224"/>
      <c r="AU55" s="226"/>
      <c r="AV55" s="314">
        <f>IF(NLTable[[#This Row],[Selected for Implementation]]="Yes",1,0)</f>
        <v>0</v>
      </c>
      <c r="AW55" s="314">
        <f>NLTable[[#This Row],[Implement]]*NLTable[[#This Row],[Total Rebate]]</f>
        <v>0</v>
      </c>
      <c r="AX55" s="314">
        <f>NLTable[[#This Row],[Implement]]*NLTable[[#This Row],[Electric Savings, kWh/yr]]</f>
        <v>0</v>
      </c>
      <c r="AY55" s="314">
        <f>NLTable[[#This Row],[Implement]]*NLTable[[#This Row],[Peak Demand Savings, kW]]</f>
        <v>0</v>
      </c>
      <c r="AZ55" s="314">
        <f>NLTable[[#This Row],[Implement]]*NLTable[[#This Row],[Nat. Gas Savings, GJ/yr]]</f>
        <v>0</v>
      </c>
      <c r="BA55" s="314">
        <f>NLTable[[#This Row],[Implement]]*NLTable[[#This Row],[Est. Energy Cost Savings, $]]</f>
        <v>0</v>
      </c>
      <c r="BB55" s="314">
        <f>NLTable[[#This Row],[Implement]]*NLTable[[#This Row],[GHG Reduction, tCO2e/yr]]</f>
        <v>0</v>
      </c>
      <c r="BC55" s="314">
        <f>IFERROR(NLTable[[#This Row],[GHG Reduction]]*INDEX(NLIndexTable[Persistence],MATCH(NLTable[[#This Row],[Unique Name]],NLIndexTable[Unique Name],0)),0)</f>
        <v>0</v>
      </c>
      <c r="BD55" s="314">
        <f>NLTable[[#This Row],[Implement]]*NLTable[[#This Row],[Total Capital Cost, $]]</f>
        <v>0</v>
      </c>
      <c r="BE55" s="321" t="str">
        <f>""</f>
        <v/>
      </c>
      <c r="BF55" s="314" t="str">
        <f>IF(NLTable[[#This Row],[Selected for Implementation]]="Yes",IF(NLTable[[#This Row],[No]]="","",NLTable[[#This Row],[Unique Name]]),"")</f>
        <v/>
      </c>
      <c r="BG55" s="617"/>
      <c r="BH55" s="647"/>
    </row>
    <row r="56" spans="1:60" ht="24.65" customHeight="1" x14ac:dyDescent="0.3">
      <c r="A56" s="479"/>
      <c r="B56" s="482"/>
      <c r="C56" s="322"/>
      <c r="D56" s="224">
        <f t="shared" ref="D56:J56" si="38">D53</f>
        <v>0</v>
      </c>
      <c r="E56" s="224">
        <f t="shared" si="38"/>
        <v>0</v>
      </c>
      <c r="F56" s="224" t="str">
        <f t="shared" si="38"/>
        <v/>
      </c>
      <c r="G56" s="224">
        <f t="shared" si="38"/>
        <v>0</v>
      </c>
      <c r="H56" s="224" t="str">
        <f t="shared" si="38"/>
        <v>Mech_-</v>
      </c>
      <c r="I56" s="224" t="str">
        <f t="shared" si="38"/>
        <v/>
      </c>
      <c r="J56" s="225" t="str">
        <f t="shared" si="38"/>
        <v/>
      </c>
      <c r="K56" s="316">
        <v>4</v>
      </c>
      <c r="L56" s="317" t="str">
        <f>IFERROR(INDEX(NLBaselineParam[#Data],MATCH(NLTable[[#This Row],[Index]],NLBaselineParam[Var],0),MATCH(NLTable[[#This Row],[CalcMethod]],NLBaselineParam[#Headers],0)),"")</f>
        <v/>
      </c>
      <c r="M56" s="529"/>
      <c r="N56" s="318" t="str">
        <f>IFERROR(INDEX(NLProposedParam[#Data],MATCH(NLTable[[#This Row],[Index]],NLProposedParam[Var],0),MATCH(NLTable[[#This Row],[CalcMethod]],NLProposedParam[#Headers],0)),"")</f>
        <v/>
      </c>
      <c r="O56" s="529"/>
      <c r="P56" s="319"/>
      <c r="Q56" s="319"/>
      <c r="R56" s="319"/>
      <c r="S56" s="319"/>
      <c r="T56" s="319"/>
      <c r="U56" s="319"/>
      <c r="V56" s="320"/>
      <c r="W56" s="320"/>
      <c r="X56" s="320"/>
      <c r="Y56" s="320"/>
      <c r="Z56" s="320"/>
      <c r="AA56" s="320"/>
      <c r="AB56" s="320"/>
      <c r="AC56" s="320"/>
      <c r="AD56" s="320"/>
      <c r="AE56" s="320"/>
      <c r="AF56" s="320"/>
      <c r="AG56" s="320"/>
      <c r="AH56" s="320"/>
      <c r="AI56" s="320"/>
      <c r="AJ56" s="320"/>
      <c r="AK56" s="320"/>
      <c r="AL56" s="320"/>
      <c r="AM56" s="320"/>
      <c r="AN56" s="224"/>
      <c r="AO56" s="224"/>
      <c r="AP56" s="224"/>
      <c r="AQ56" s="224"/>
      <c r="AR56" s="224"/>
      <c r="AS56" s="224"/>
      <c r="AT56" s="224"/>
      <c r="AU56" s="226"/>
      <c r="AV56" s="314">
        <f>IF(NLTable[[#This Row],[Selected for Implementation]]="Yes",1,0)</f>
        <v>0</v>
      </c>
      <c r="AW56" s="314">
        <f>NLTable[[#This Row],[Implement]]*NLTable[[#This Row],[Total Rebate]]</f>
        <v>0</v>
      </c>
      <c r="AX56" s="314">
        <f>NLTable[[#This Row],[Implement]]*NLTable[[#This Row],[Electric Savings, kWh/yr]]</f>
        <v>0</v>
      </c>
      <c r="AY56" s="314">
        <f>NLTable[[#This Row],[Implement]]*NLTable[[#This Row],[Peak Demand Savings, kW]]</f>
        <v>0</v>
      </c>
      <c r="AZ56" s="314">
        <f>NLTable[[#This Row],[Implement]]*NLTable[[#This Row],[Nat. Gas Savings, GJ/yr]]</f>
        <v>0</v>
      </c>
      <c r="BA56" s="314">
        <f>NLTable[[#This Row],[Implement]]*NLTable[[#This Row],[Est. Energy Cost Savings, $]]</f>
        <v>0</v>
      </c>
      <c r="BB56" s="314">
        <f>NLTable[[#This Row],[Implement]]*NLTable[[#This Row],[GHG Reduction, tCO2e/yr]]</f>
        <v>0</v>
      </c>
      <c r="BC56" s="314">
        <f>IFERROR(NLTable[[#This Row],[GHG Reduction]]*INDEX(NLIndexTable[Persistence],MATCH(NLTable[[#This Row],[Unique Name]],NLIndexTable[Unique Name],0)),0)</f>
        <v>0</v>
      </c>
      <c r="BD56" s="314">
        <f>NLTable[[#This Row],[Implement]]*NLTable[[#This Row],[Total Capital Cost, $]]</f>
        <v>0</v>
      </c>
      <c r="BE56" s="321" t="str">
        <f>""</f>
        <v/>
      </c>
      <c r="BF56" s="314" t="str">
        <f>IF(NLTable[[#This Row],[Selected for Implementation]]="Yes",IF(NLTable[[#This Row],[No]]="","",NLTable[[#This Row],[Unique Name]]),"")</f>
        <v/>
      </c>
      <c r="BG56" s="617"/>
      <c r="BH56" s="647"/>
    </row>
    <row r="57" spans="1:60" s="230" customFormat="1" ht="24.65" customHeight="1" thickBot="1" x14ac:dyDescent="0.35">
      <c r="A57" s="479"/>
      <c r="B57" s="483"/>
      <c r="C57" s="323"/>
      <c r="D57" s="227">
        <f t="shared" ref="D57:J57" si="39">D53</f>
        <v>0</v>
      </c>
      <c r="E57" s="227">
        <f t="shared" si="39"/>
        <v>0</v>
      </c>
      <c r="F57" s="227" t="str">
        <f t="shared" si="39"/>
        <v/>
      </c>
      <c r="G57" s="227">
        <f t="shared" si="39"/>
        <v>0</v>
      </c>
      <c r="H57" s="227" t="str">
        <f t="shared" si="39"/>
        <v>Mech_-</v>
      </c>
      <c r="I57" s="227" t="str">
        <f t="shared" si="39"/>
        <v/>
      </c>
      <c r="J57" s="228" t="str">
        <f t="shared" si="39"/>
        <v/>
      </c>
      <c r="K57" s="324">
        <v>5</v>
      </c>
      <c r="L57" s="325" t="str">
        <f>IFERROR(INDEX(NLBaselineParam[#Data],MATCH(NLTable[[#This Row],[Index]],NLBaselineParam[Var],0),MATCH(NLTable[[#This Row],[CalcMethod]],NLBaselineParam[#Headers],0)),"")</f>
        <v/>
      </c>
      <c r="M57" s="530"/>
      <c r="N57" s="326" t="str">
        <f>IFERROR(INDEX(NLProposedParam[#Data],MATCH(NLTable[[#This Row],[Index]],NLProposedParam[Var],0),MATCH(NLTable[[#This Row],[CalcMethod]],NLProposedParam[#Headers],0)),"")</f>
        <v/>
      </c>
      <c r="O57" s="530"/>
      <c r="P57" s="327"/>
      <c r="Q57" s="327"/>
      <c r="R57" s="327"/>
      <c r="S57" s="327"/>
      <c r="T57" s="327"/>
      <c r="U57" s="327"/>
      <c r="V57" s="328"/>
      <c r="W57" s="328"/>
      <c r="X57" s="328"/>
      <c r="Y57" s="328"/>
      <c r="Z57" s="328"/>
      <c r="AA57" s="328"/>
      <c r="AB57" s="328"/>
      <c r="AC57" s="328"/>
      <c r="AD57" s="328"/>
      <c r="AE57" s="328"/>
      <c r="AF57" s="328"/>
      <c r="AG57" s="328"/>
      <c r="AH57" s="328"/>
      <c r="AI57" s="328"/>
      <c r="AJ57" s="328"/>
      <c r="AK57" s="328"/>
      <c r="AL57" s="328"/>
      <c r="AM57" s="328"/>
      <c r="AN57" s="227"/>
      <c r="AO57" s="227"/>
      <c r="AP57" s="227"/>
      <c r="AQ57" s="227"/>
      <c r="AR57" s="227"/>
      <c r="AS57" s="227"/>
      <c r="AT57" s="227"/>
      <c r="AU57" s="229"/>
      <c r="AV57" s="314">
        <f>IF(NLTable[[#This Row],[Selected for Implementation]]="Yes",1,0)</f>
        <v>0</v>
      </c>
      <c r="AW57" s="314">
        <f>NLTable[[#This Row],[Implement]]*NLTable[[#This Row],[Total Rebate]]</f>
        <v>0</v>
      </c>
      <c r="AX57" s="314">
        <f>NLTable[[#This Row],[Implement]]*NLTable[[#This Row],[Electric Savings, kWh/yr]]</f>
        <v>0</v>
      </c>
      <c r="AY57" s="314">
        <f>NLTable[[#This Row],[Implement]]*NLTable[[#This Row],[Peak Demand Savings, kW]]</f>
        <v>0</v>
      </c>
      <c r="AZ57" s="314">
        <f>NLTable[[#This Row],[Implement]]*NLTable[[#This Row],[Nat. Gas Savings, GJ/yr]]</f>
        <v>0</v>
      </c>
      <c r="BA57" s="314">
        <f>NLTable[[#This Row],[Implement]]*NLTable[[#This Row],[Est. Energy Cost Savings, $]]</f>
        <v>0</v>
      </c>
      <c r="BB57" s="314">
        <f>NLTable[[#This Row],[Implement]]*NLTable[[#This Row],[GHG Reduction, tCO2e/yr]]</f>
        <v>0</v>
      </c>
      <c r="BC57" s="314">
        <f>IFERROR(NLTable[[#This Row],[GHG Reduction]]*INDEX(NLIndexTable[Persistence],MATCH(NLTable[[#This Row],[Unique Name]],NLIndexTable[Unique Name],0)),0)</f>
        <v>0</v>
      </c>
      <c r="BD57" s="314">
        <f>NLTable[[#This Row],[Implement]]*NLTable[[#This Row],[Total Capital Cost, $]]</f>
        <v>0</v>
      </c>
      <c r="BE57" s="321" t="str">
        <f>""</f>
        <v/>
      </c>
      <c r="BF57" s="314" t="str">
        <f>IF(NLTable[[#This Row],[Selected for Implementation]]="Yes",IF(NLTable[[#This Row],[No]]="","",NLTable[[#This Row],[Unique Name]]),"")</f>
        <v/>
      </c>
      <c r="BG57" s="617"/>
      <c r="BH57" s="648"/>
    </row>
  </sheetData>
  <sheetProtection algorithmName="SHA-512" hashValue="O40Jnot94rHTxF76WKTzxjEWb1rc/fcha5W0QZ3R6kPLbj0+lP6aQ9mX571wk48gFB9T6eaK0Tw/MGtDsKYfJA==" saltValue="FB46uHFjizHKJvQflV0SBQ==" spinCount="100000" sheet="1" selectLockedCells="1"/>
  <mergeCells count="23">
    <mergeCell ref="D4:E5"/>
    <mergeCell ref="F4:J5"/>
    <mergeCell ref="P4:U6"/>
    <mergeCell ref="V4:AM4"/>
    <mergeCell ref="AN4:AU6"/>
    <mergeCell ref="V5:X5"/>
    <mergeCell ref="Y5:AA5"/>
    <mergeCell ref="AB5:AD5"/>
    <mergeCell ref="AE5:AG5"/>
    <mergeCell ref="AH5:AJ5"/>
    <mergeCell ref="AK5:AM5"/>
    <mergeCell ref="L4:M5"/>
    <mergeCell ref="N4:O5"/>
    <mergeCell ref="BH8:BH12"/>
    <mergeCell ref="BH13:BH17"/>
    <mergeCell ref="BH18:BH22"/>
    <mergeCell ref="BH23:BH27"/>
    <mergeCell ref="BH53:BH57"/>
    <mergeCell ref="BH28:BH32"/>
    <mergeCell ref="BH33:BH37"/>
    <mergeCell ref="BH38:BH42"/>
    <mergeCell ref="BH43:BH47"/>
    <mergeCell ref="BH48:BH52"/>
  </mergeCells>
  <phoneticPr fontId="65" type="noConversion"/>
  <conditionalFormatting sqref="M8:M57 O8:O57">
    <cfRule type="expression" dxfId="131" priority="1">
      <formula>L8&lt;&gt;""</formula>
    </cfRule>
  </conditionalFormatting>
  <dataValidations count="4">
    <dataValidation type="list" allowBlank="1" showInputMessage="1" showErrorMessage="1" sqref="D48 D33 D28 D18 D43 D13 D23 D8 D38 D53" xr:uid="{E52E805D-2724-4B11-9577-68CF133184B7}">
      <formula1>"Electricity, Natural Gas"</formula1>
    </dataValidation>
    <dataValidation type="list" allowBlank="1" showInputMessage="1" showErrorMessage="1" sqref="E8 E28 E18 E43 E23 E33 E13 E48 E38 E53" xr:uid="{20EDC995-843A-4B83-9F6B-A4E7766F4B02}">
      <formula1>NLTechnology</formula1>
    </dataValidation>
    <dataValidation type="list" allowBlank="1" showInputMessage="1" showErrorMessage="1" sqref="G23 G33 G18 G43 G8 G28 G13 G48 G38 G53" xr:uid="{A7B455A1-7961-4999-A972-2FA71B46A5A3}">
      <formula1>MyNLSource</formula1>
    </dataValidation>
    <dataValidation type="list" allowBlank="1" showInputMessage="1" showErrorMessage="1" sqref="C48 C18 C43 C13 C23 C28 C33 C8 C38 C53" xr:uid="{838E70C1-29D5-4532-A5D7-91AAB4D97A6A}">
      <formula1>"Yes,No"</formula1>
    </dataValidation>
  </dataValidations>
  <pageMargins left="0.7" right="0.7" top="0.75" bottom="0.75" header="0.3" footer="0.3"/>
  <pageSetup scale="36"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075-CBD2-4E93-BCA8-6A57408C5F41}">
  <sheetPr codeName="Sheet2">
    <tabColor rgb="FF10A3CB"/>
    <pageSetUpPr fitToPage="1"/>
  </sheetPr>
  <dimension ref="A1:CB49"/>
  <sheetViews>
    <sheetView showGridLines="0" zoomScaleNormal="100" workbookViewId="0">
      <selection activeCell="AO20" sqref="AO20"/>
    </sheetView>
  </sheetViews>
  <sheetFormatPr defaultColWidth="0" defaultRowHeight="14.25" customHeight="1" zeroHeight="1" x14ac:dyDescent="0.35"/>
  <cols>
    <col min="1" max="3" width="2.81640625" style="162" customWidth="1"/>
    <col min="4" max="4" width="6.1796875" style="162" customWidth="1"/>
    <col min="5" max="7" width="2.81640625" style="162" customWidth="1"/>
    <col min="8" max="16" width="3.453125" style="162" customWidth="1"/>
    <col min="17" max="58" width="2.81640625" style="162" customWidth="1"/>
    <col min="59" max="79" width="2.81640625" style="162" hidden="1" customWidth="1"/>
    <col min="80" max="80" width="4.1796875" style="162" hidden="1" customWidth="1"/>
    <col min="81" max="16384" width="2.81640625" style="162" hidden="1"/>
  </cols>
  <sheetData>
    <row r="1" spans="4:75" ht="14" x14ac:dyDescent="0.35"/>
    <row r="2" spans="4:75" ht="20.5" x14ac:dyDescent="0.35">
      <c r="D2" s="163" t="str">
        <f>Userguide!B9</f>
        <v>MURBRP Rebate Workbook - Version 1.2 - November 2024</v>
      </c>
    </row>
    <row r="3" spans="4:75" ht="14" x14ac:dyDescent="0.35"/>
    <row r="4" spans="4:75" ht="30" x14ac:dyDescent="0.35">
      <c r="D4" s="525" t="s">
        <v>382</v>
      </c>
      <c r="E4" s="164"/>
      <c r="F4" s="164"/>
      <c r="G4" s="164"/>
      <c r="H4" s="164"/>
      <c r="I4" s="164"/>
      <c r="J4" s="164"/>
      <c r="K4" s="164"/>
      <c r="L4" s="164"/>
      <c r="M4" s="164"/>
      <c r="N4" s="164"/>
      <c r="O4" s="165"/>
      <c r="P4" s="165"/>
      <c r="Q4" s="165"/>
      <c r="R4" s="165"/>
      <c r="S4" s="165"/>
      <c r="T4" s="165"/>
      <c r="U4" s="165"/>
      <c r="V4" s="165"/>
      <c r="W4" s="165"/>
      <c r="X4" s="165"/>
      <c r="Y4" s="165"/>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6"/>
    </row>
    <row r="5" spans="4:75" ht="14" x14ac:dyDescent="0.35">
      <c r="D5" s="167"/>
      <c r="AM5" s="168"/>
      <c r="BE5" s="169"/>
    </row>
    <row r="6" spans="4:75" ht="18.75" customHeight="1" x14ac:dyDescent="0.35">
      <c r="D6" s="167"/>
      <c r="M6" s="170" t="s">
        <v>197</v>
      </c>
      <c r="N6" s="702">
        <f>'Project Info'!C4</f>
        <v>0</v>
      </c>
      <c r="O6" s="703"/>
      <c r="P6" s="703"/>
      <c r="Q6" s="703"/>
      <c r="R6" s="703"/>
      <c r="S6" s="703"/>
      <c r="T6" s="703"/>
      <c r="U6" s="703"/>
      <c r="V6" s="703"/>
      <c r="W6" s="703"/>
      <c r="X6" s="703"/>
      <c r="Y6" s="703"/>
      <c r="Z6" s="703"/>
      <c r="AA6" s="703"/>
      <c r="AB6" s="703"/>
      <c r="AC6" s="703"/>
      <c r="AD6" s="703"/>
      <c r="AE6" s="703"/>
      <c r="AF6" s="703"/>
      <c r="AG6" s="703"/>
      <c r="AH6" s="704"/>
      <c r="AI6" s="171"/>
      <c r="AM6" s="171"/>
      <c r="BE6" s="169"/>
    </row>
    <row r="7" spans="4:75" ht="18.75" customHeight="1" x14ac:dyDescent="0.35">
      <c r="D7" s="167"/>
      <c r="M7" s="170" t="s">
        <v>199</v>
      </c>
      <c r="N7" s="702">
        <f>'Project Info'!C6</f>
        <v>0</v>
      </c>
      <c r="O7" s="703"/>
      <c r="P7" s="703"/>
      <c r="Q7" s="703"/>
      <c r="R7" s="703"/>
      <c r="S7" s="703"/>
      <c r="T7" s="703"/>
      <c r="U7" s="703"/>
      <c r="V7" s="703"/>
      <c r="W7" s="703"/>
      <c r="X7" s="703"/>
      <c r="Y7" s="703"/>
      <c r="Z7" s="703"/>
      <c r="AA7" s="703"/>
      <c r="AB7" s="703"/>
      <c r="AC7" s="703"/>
      <c r="AD7" s="703"/>
      <c r="AE7" s="703"/>
      <c r="AF7" s="703"/>
      <c r="AG7" s="703"/>
      <c r="AH7" s="704"/>
      <c r="AI7" s="171"/>
      <c r="AM7" s="171"/>
      <c r="BE7" s="169"/>
    </row>
    <row r="8" spans="4:75" ht="18.649999999999999" customHeight="1" x14ac:dyDescent="0.35">
      <c r="D8" s="167"/>
      <c r="M8" s="170" t="s">
        <v>200</v>
      </c>
      <c r="N8" s="702">
        <f>'Project Info'!C8</f>
        <v>0</v>
      </c>
      <c r="O8" s="703"/>
      <c r="P8" s="703"/>
      <c r="Q8" s="703"/>
      <c r="R8" s="703"/>
      <c r="S8" s="703"/>
      <c r="T8" s="703"/>
      <c r="U8" s="703"/>
      <c r="V8" s="703"/>
      <c r="W8" s="703"/>
      <c r="X8" s="703"/>
      <c r="Y8" s="703"/>
      <c r="Z8" s="703"/>
      <c r="AA8" s="703"/>
      <c r="AB8" s="703"/>
      <c r="AC8" s="703"/>
      <c r="AD8" s="703"/>
      <c r="AE8" s="703"/>
      <c r="AF8" s="703"/>
      <c r="AG8" s="703"/>
      <c r="AH8" s="704"/>
      <c r="AI8" s="171"/>
      <c r="AM8" s="171"/>
      <c r="BE8" s="169"/>
    </row>
    <row r="9" spans="4:75" ht="18.649999999999999" customHeight="1" x14ac:dyDescent="0.35">
      <c r="D9" s="167"/>
      <c r="M9" s="170" t="s">
        <v>401</v>
      </c>
      <c r="N9" s="702">
        <f>'Project Info'!C55</f>
        <v>0</v>
      </c>
      <c r="O9" s="703"/>
      <c r="P9" s="703"/>
      <c r="Q9" s="703"/>
      <c r="R9" s="703"/>
      <c r="S9" s="703"/>
      <c r="T9" s="703"/>
      <c r="U9" s="703"/>
      <c r="V9" s="703"/>
      <c r="W9" s="703"/>
      <c r="X9" s="703"/>
      <c r="Y9" s="703"/>
      <c r="Z9" s="703"/>
      <c r="AA9" s="703"/>
      <c r="AB9" s="703"/>
      <c r="AC9" s="703"/>
      <c r="AD9" s="703"/>
      <c r="AE9" s="703"/>
      <c r="AF9" s="703"/>
      <c r="AG9" s="703"/>
      <c r="AH9" s="704"/>
      <c r="AI9" s="171"/>
      <c r="AM9" s="171"/>
      <c r="BE9" s="169"/>
    </row>
    <row r="10" spans="4:75" ht="14" x14ac:dyDescent="0.35">
      <c r="D10" s="167"/>
      <c r="AM10" s="173"/>
      <c r="BE10" s="169"/>
    </row>
    <row r="11" spans="4:75" ht="14" x14ac:dyDescent="0.35">
      <c r="D11" s="167"/>
      <c r="BE11" s="169"/>
      <c r="BK11" s="174"/>
    </row>
    <row r="12" spans="4:75" ht="25" x14ac:dyDescent="0.35">
      <c r="D12" s="526" t="s">
        <v>469</v>
      </c>
      <c r="O12" s="175"/>
      <c r="P12" s="175"/>
      <c r="Q12" s="175"/>
      <c r="R12" s="175"/>
      <c r="S12" s="175"/>
      <c r="T12" s="175"/>
      <c r="U12" s="175"/>
      <c r="V12" s="175"/>
      <c r="W12" s="175"/>
      <c r="X12" s="175"/>
      <c r="BE12" s="169"/>
    </row>
    <row r="13" spans="4:75" ht="14" x14ac:dyDescent="0.35">
      <c r="D13" s="167"/>
      <c r="BE13" s="169"/>
    </row>
    <row r="14" spans="4:75" ht="18.75" customHeight="1" x14ac:dyDescent="0.35">
      <c r="D14" s="167"/>
      <c r="X14" s="176" t="s">
        <v>801</v>
      </c>
      <c r="Y14" s="699">
        <f>SUM(Q31:U37,Q41:U42)</f>
        <v>0</v>
      </c>
      <c r="Z14" s="700"/>
      <c r="AA14" s="700"/>
      <c r="AB14" s="700"/>
      <c r="AC14" s="700"/>
      <c r="AD14" s="700"/>
      <c r="AE14" s="701"/>
      <c r="AF14" s="172"/>
      <c r="AG14" s="172" t="s">
        <v>368</v>
      </c>
      <c r="AP14" s="172"/>
      <c r="BE14" s="169"/>
      <c r="BF14" s="172"/>
      <c r="BN14" s="162" t="s">
        <v>67</v>
      </c>
      <c r="BT14" s="162" t="s">
        <v>67</v>
      </c>
      <c r="BU14" s="162" t="s">
        <v>67</v>
      </c>
      <c r="BV14" s="162" t="s">
        <v>67</v>
      </c>
      <c r="BW14" s="162" t="s">
        <v>67</v>
      </c>
    </row>
    <row r="15" spans="4:75" ht="18.75" customHeight="1" x14ac:dyDescent="0.35">
      <c r="D15" s="167"/>
      <c r="X15" s="176" t="s">
        <v>770</v>
      </c>
      <c r="Y15" s="699">
        <f>Q43</f>
        <v>0</v>
      </c>
      <c r="Z15" s="700"/>
      <c r="AA15" s="700"/>
      <c r="AB15" s="700"/>
      <c r="AC15" s="700"/>
      <c r="AD15" s="700"/>
      <c r="AE15" s="701"/>
      <c r="AF15" s="172"/>
      <c r="AG15" s="172" t="s">
        <v>368</v>
      </c>
      <c r="AP15" s="172"/>
      <c r="BE15" s="169"/>
      <c r="BF15" s="172"/>
    </row>
    <row r="16" spans="4:75" ht="18.75" customHeight="1" x14ac:dyDescent="0.35">
      <c r="D16" s="167"/>
      <c r="X16" s="176" t="s">
        <v>783</v>
      </c>
      <c r="Y16" s="691">
        <f>MIN(MIN(SUM(V31:Z37,V41:Z42),0.5*Y14),500000)+V43</f>
        <v>0</v>
      </c>
      <c r="Z16" s="691"/>
      <c r="AA16" s="691"/>
      <c r="AB16" s="691"/>
      <c r="AC16" s="691"/>
      <c r="AD16" s="691"/>
      <c r="AE16" s="691"/>
      <c r="AF16" s="172"/>
      <c r="AG16" s="172" t="s">
        <v>368</v>
      </c>
      <c r="AP16" s="172"/>
      <c r="AZ16" s="177" t="str">
        <f>X14</f>
        <v>Total project cost</v>
      </c>
      <c r="BA16" s="178">
        <f>-Y14</f>
        <v>0</v>
      </c>
      <c r="BE16" s="169"/>
      <c r="BF16" s="172"/>
      <c r="BN16" s="162" t="s">
        <v>72</v>
      </c>
      <c r="BT16" s="162" t="s">
        <v>72</v>
      </c>
      <c r="BU16" s="162" t="s">
        <v>72</v>
      </c>
      <c r="BV16" s="162" t="s">
        <v>72</v>
      </c>
      <c r="BW16" s="162" t="s">
        <v>72</v>
      </c>
    </row>
    <row r="17" spans="4:78" ht="18.75" customHeight="1" x14ac:dyDescent="0.35">
      <c r="D17" s="167"/>
      <c r="X17" s="176" t="s">
        <v>681</v>
      </c>
      <c r="Y17" s="691">
        <f>SUM(AQ31:AV37,AQ41:AV44)</f>
        <v>0</v>
      </c>
      <c r="Z17" s="691"/>
      <c r="AA17" s="691"/>
      <c r="AB17" s="691"/>
      <c r="AC17" s="691"/>
      <c r="AD17" s="691"/>
      <c r="AE17" s="691"/>
      <c r="AF17" s="172"/>
      <c r="AG17" s="172" t="s">
        <v>370</v>
      </c>
      <c r="AP17" s="172"/>
      <c r="AZ17" s="177" t="str">
        <f>X16</f>
        <v>Estimated total rebate*</v>
      </c>
      <c r="BA17" s="178">
        <f>Y16</f>
        <v>0</v>
      </c>
      <c r="BE17" s="169"/>
      <c r="BF17" s="172"/>
      <c r="BN17" s="162" t="s">
        <v>70</v>
      </c>
      <c r="BT17" s="162" t="s">
        <v>70</v>
      </c>
      <c r="BU17" s="162" t="s">
        <v>70</v>
      </c>
      <c r="BV17" s="162" t="s">
        <v>70</v>
      </c>
      <c r="BW17" s="162" t="s">
        <v>70</v>
      </c>
    </row>
    <row r="18" spans="4:78" ht="18.75" customHeight="1" x14ac:dyDescent="0.35">
      <c r="D18" s="167"/>
      <c r="X18" s="176" t="s">
        <v>683</v>
      </c>
      <c r="Y18" s="696">
        <f>SUM(AB31:AH37)-SUM(AB41:AF44)</f>
        <v>0</v>
      </c>
      <c r="Z18" s="696"/>
      <c r="AA18" s="696"/>
      <c r="AB18" s="696"/>
      <c r="AC18" s="696"/>
      <c r="AD18" s="696"/>
      <c r="AE18" s="696"/>
      <c r="AF18" s="172"/>
      <c r="AG18" s="172" t="s">
        <v>282</v>
      </c>
      <c r="AP18" s="172"/>
      <c r="AZ18" s="177" t="str">
        <f>X17</f>
        <v>Estimated total annual cost savings</v>
      </c>
      <c r="BA18" s="178">
        <f>Y17</f>
        <v>0</v>
      </c>
      <c r="BE18" s="169"/>
      <c r="BF18" s="172"/>
      <c r="BN18" s="162" t="s">
        <v>78</v>
      </c>
      <c r="BT18" s="162" t="s">
        <v>78</v>
      </c>
      <c r="BU18" s="162" t="s">
        <v>78</v>
      </c>
      <c r="BV18" s="162" t="s">
        <v>78</v>
      </c>
      <c r="BW18" s="162" t="s">
        <v>78</v>
      </c>
    </row>
    <row r="19" spans="4:78" ht="18.75" customHeight="1" x14ac:dyDescent="0.35">
      <c r="D19" s="167"/>
      <c r="X19" s="176" t="s">
        <v>684</v>
      </c>
      <c r="Y19" s="691">
        <f>SUM(AI31:AO37)-SUM(AG41:AK44)</f>
        <v>0</v>
      </c>
      <c r="Z19" s="691"/>
      <c r="AA19" s="691"/>
      <c r="AB19" s="691"/>
      <c r="AC19" s="691"/>
      <c r="AD19" s="691"/>
      <c r="AE19" s="691"/>
      <c r="AF19" s="172"/>
      <c r="AG19" s="172" t="s">
        <v>371</v>
      </c>
      <c r="AP19" s="172"/>
      <c r="AZ19" s="177"/>
      <c r="BA19" s="177"/>
      <c r="BE19" s="169"/>
      <c r="BF19" s="172"/>
    </row>
    <row r="20" spans="4:78" ht="18.75" customHeight="1" x14ac:dyDescent="0.35">
      <c r="D20" s="167"/>
      <c r="X20" s="176" t="s">
        <v>685</v>
      </c>
      <c r="Y20" s="691">
        <f>SUM(Mechanical!AZ:AZ)</f>
        <v>0</v>
      </c>
      <c r="Z20" s="691"/>
      <c r="AA20" s="691"/>
      <c r="AB20" s="691"/>
      <c r="AC20" s="691"/>
      <c r="AD20" s="691"/>
      <c r="AE20" s="691"/>
      <c r="AF20" s="172"/>
      <c r="AG20" s="172" t="s">
        <v>429</v>
      </c>
      <c r="AP20" s="172"/>
      <c r="AZ20" s="177"/>
      <c r="BA20" s="177"/>
      <c r="BE20" s="169"/>
      <c r="BF20" s="172"/>
    </row>
    <row r="21" spans="4:78" ht="18.75" customHeight="1" x14ac:dyDescent="0.35">
      <c r="D21" s="167"/>
      <c r="X21" s="176" t="s">
        <v>686</v>
      </c>
      <c r="Y21" s="696">
        <f>SUM(AL41:AP44)</f>
        <v>0</v>
      </c>
      <c r="Z21" s="696"/>
      <c r="AA21" s="696"/>
      <c r="AB21" s="696"/>
      <c r="AC21" s="696"/>
      <c r="AD21" s="696"/>
      <c r="AE21" s="696"/>
      <c r="AF21" s="172"/>
      <c r="AG21" s="172" t="s">
        <v>390</v>
      </c>
      <c r="AP21" s="172"/>
      <c r="AZ21" s="177" t="str">
        <f>X19</f>
        <v>Total project electrical savings</v>
      </c>
      <c r="BA21" s="178">
        <f>Y19</f>
        <v>0</v>
      </c>
      <c r="BE21" s="169"/>
      <c r="BF21" s="172"/>
    </row>
    <row r="22" spans="4:78" ht="18.75" customHeight="1" x14ac:dyDescent="0.35">
      <c r="D22" s="167"/>
      <c r="X22" s="176" t="s">
        <v>668</v>
      </c>
      <c r="Y22" s="696">
        <f>Mechanical!BC5</f>
        <v>0</v>
      </c>
      <c r="Z22" s="696"/>
      <c r="AA22" s="696"/>
      <c r="AB22" s="696"/>
      <c r="AC22" s="696"/>
      <c r="AD22" s="696"/>
      <c r="AE22" s="696"/>
      <c r="AF22" s="172"/>
      <c r="AG22" s="172" t="s">
        <v>669</v>
      </c>
      <c r="AP22" s="172"/>
      <c r="AZ22" s="177"/>
      <c r="BA22" s="178"/>
      <c r="BE22" s="169"/>
      <c r="BF22" s="172"/>
    </row>
    <row r="23" spans="4:78" ht="18.75" customHeight="1" x14ac:dyDescent="0.35">
      <c r="D23" s="167"/>
      <c r="X23" s="176" t="s">
        <v>761</v>
      </c>
      <c r="Y23" s="696" t="str">
        <f>IFERROR(IF((Y14-Y16)/Y17&gt;0,(Y14-Y16)/Y17,"No Payback"),"")</f>
        <v/>
      </c>
      <c r="Z23" s="696"/>
      <c r="AA23" s="696"/>
      <c r="AB23" s="696"/>
      <c r="AC23" s="696"/>
      <c r="AD23" s="696"/>
      <c r="AE23" s="696"/>
      <c r="AF23" s="172"/>
      <c r="AG23" s="172" t="s">
        <v>372</v>
      </c>
      <c r="AP23" s="172"/>
      <c r="BE23" s="169"/>
      <c r="BF23" s="172"/>
    </row>
    <row r="24" spans="4:78" ht="14" x14ac:dyDescent="0.35">
      <c r="D24" s="167"/>
      <c r="X24" s="179"/>
      <c r="Y24" s="180"/>
      <c r="Z24" s="180"/>
      <c r="AA24" s="180"/>
      <c r="AB24" s="180"/>
      <c r="AC24" s="180"/>
      <c r="AD24" s="180"/>
      <c r="AE24" s="180"/>
      <c r="BE24" s="169"/>
    </row>
    <row r="25" spans="4:78" ht="18.75" customHeight="1" x14ac:dyDescent="0.35">
      <c r="D25" s="167"/>
      <c r="X25" s="176"/>
      <c r="Y25" s="697"/>
      <c r="Z25" s="697"/>
      <c r="AA25" s="697"/>
      <c r="AB25" s="697"/>
      <c r="AC25" s="697"/>
      <c r="AD25" s="697"/>
      <c r="AE25" s="697"/>
      <c r="AF25" s="172"/>
      <c r="AG25" s="172"/>
      <c r="BE25" s="181"/>
    </row>
    <row r="26" spans="4:78" ht="13.5" customHeight="1" x14ac:dyDescent="0.35">
      <c r="D26" s="167"/>
      <c r="BE26" s="182"/>
      <c r="BT26" s="162" t="s">
        <v>373</v>
      </c>
    </row>
    <row r="27" spans="4:78" ht="13.5" customHeight="1" x14ac:dyDescent="0.35">
      <c r="D27" s="527"/>
      <c r="E27" s="183"/>
      <c r="F27" s="183"/>
      <c r="G27" s="184"/>
      <c r="H27" s="184"/>
      <c r="I27" s="184"/>
      <c r="J27" s="184"/>
      <c r="K27" s="184"/>
      <c r="L27" s="184"/>
      <c r="M27" s="184"/>
      <c r="N27" s="184"/>
      <c r="O27" s="184"/>
      <c r="P27" s="183"/>
      <c r="Q27" s="183"/>
      <c r="R27" s="183"/>
      <c r="S27" s="183"/>
      <c r="T27" s="183"/>
      <c r="U27" s="183"/>
      <c r="V27" s="183"/>
      <c r="W27" s="183"/>
      <c r="X27" s="183"/>
      <c r="Y27" s="183"/>
      <c r="Z27" s="183"/>
      <c r="AA27" s="183"/>
      <c r="AB27" s="183"/>
      <c r="AC27" s="183"/>
      <c r="AD27" s="183"/>
      <c r="AE27" s="183"/>
      <c r="AF27" s="183" t="s">
        <v>805</v>
      </c>
      <c r="AG27" s="183"/>
      <c r="AH27" s="183"/>
      <c r="AI27" s="183"/>
      <c r="AJ27" s="183"/>
      <c r="AK27" s="183"/>
      <c r="AL27" s="183"/>
      <c r="AM27" s="183"/>
      <c r="AN27" s="183"/>
      <c r="AO27" s="183"/>
      <c r="AP27" s="183"/>
      <c r="AQ27" s="183"/>
      <c r="AR27" s="332"/>
      <c r="AS27" s="332"/>
      <c r="AT27" s="332"/>
      <c r="AU27" s="332"/>
      <c r="AV27" s="332"/>
      <c r="AW27" s="332"/>
      <c r="AX27" s="332"/>
      <c r="AY27" s="332"/>
      <c r="AZ27" s="332"/>
      <c r="BA27" s="332"/>
      <c r="BB27" s="332"/>
      <c r="BC27" s="332"/>
      <c r="BD27" s="332"/>
      <c r="BE27" s="333"/>
      <c r="BT27" s="162" t="s">
        <v>374</v>
      </c>
    </row>
    <row r="28" spans="4:78" ht="14" x14ac:dyDescent="0.35"/>
    <row r="29" spans="4:78" ht="14.5" hidden="1" customHeight="1" x14ac:dyDescent="0.35">
      <c r="D29" s="689" t="s">
        <v>391</v>
      </c>
      <c r="E29" s="689"/>
      <c r="F29" s="689"/>
      <c r="G29" s="689"/>
      <c r="H29" s="689"/>
      <c r="I29" s="689"/>
      <c r="J29" s="689"/>
      <c r="K29" s="689"/>
      <c r="L29" s="689"/>
      <c r="M29" s="689"/>
      <c r="N29" s="689"/>
      <c r="O29" s="689"/>
      <c r="P29" s="689"/>
      <c r="Q29" s="695" t="s">
        <v>375</v>
      </c>
      <c r="R29" s="695"/>
      <c r="S29" s="695"/>
      <c r="T29" s="695"/>
      <c r="U29" s="695"/>
      <c r="V29" s="695"/>
      <c r="W29" s="695"/>
      <c r="X29" s="440"/>
      <c r="Y29" s="440" t="s">
        <v>384</v>
      </c>
      <c r="Z29" s="440"/>
      <c r="AA29" s="195"/>
      <c r="AB29" s="195"/>
      <c r="AC29" s="195"/>
      <c r="AD29" s="195"/>
      <c r="AE29" s="195"/>
      <c r="AF29" s="195"/>
      <c r="AG29" s="195"/>
      <c r="AH29" s="195"/>
      <c r="AI29" s="195"/>
      <c r="AJ29" s="195"/>
      <c r="AK29" s="195"/>
      <c r="AL29" s="195"/>
      <c r="AM29" s="195"/>
      <c r="AN29" s="195"/>
      <c r="AO29" s="195"/>
      <c r="AQ29" s="196" t="s">
        <v>687</v>
      </c>
      <c r="AR29" s="196"/>
      <c r="AS29" s="196"/>
      <c r="AT29" s="196"/>
      <c r="AU29" s="196"/>
      <c r="AV29" s="196"/>
      <c r="BE29" s="162" t="s">
        <v>376</v>
      </c>
      <c r="BK29" s="186" t="s">
        <v>377</v>
      </c>
      <c r="BL29" s="187"/>
      <c r="BM29" s="187"/>
      <c r="BN29" s="187"/>
      <c r="BO29" s="187"/>
      <c r="BP29" s="187"/>
      <c r="BQ29" s="187"/>
      <c r="BR29" s="187"/>
    </row>
    <row r="30" spans="4:78" ht="46.5" customHeight="1" x14ac:dyDescent="0.35">
      <c r="D30" s="689"/>
      <c r="E30" s="689"/>
      <c r="F30" s="689"/>
      <c r="G30" s="689"/>
      <c r="H30" s="689"/>
      <c r="I30" s="689"/>
      <c r="J30" s="689"/>
      <c r="K30" s="689"/>
      <c r="L30" s="689"/>
      <c r="M30" s="689"/>
      <c r="N30" s="689"/>
      <c r="O30" s="689"/>
      <c r="P30" s="689"/>
      <c r="Q30" s="667" t="s">
        <v>385</v>
      </c>
      <c r="R30" s="668"/>
      <c r="S30" s="668"/>
      <c r="T30" s="668"/>
      <c r="U30" s="669"/>
      <c r="V30" s="667" t="s">
        <v>784</v>
      </c>
      <c r="W30" s="668"/>
      <c r="X30" s="668"/>
      <c r="Y30" s="668"/>
      <c r="Z30" s="669"/>
      <c r="AA30" s="188"/>
      <c r="AB30" s="667" t="s">
        <v>387</v>
      </c>
      <c r="AC30" s="668"/>
      <c r="AD30" s="668"/>
      <c r="AE30" s="668"/>
      <c r="AF30" s="668"/>
      <c r="AG30" s="668"/>
      <c r="AH30" s="669"/>
      <c r="AI30" s="667" t="s">
        <v>430</v>
      </c>
      <c r="AJ30" s="668"/>
      <c r="AK30" s="668"/>
      <c r="AL30" s="668"/>
      <c r="AM30" s="668"/>
      <c r="AN30" s="668"/>
      <c r="AO30" s="668"/>
      <c r="AP30" s="669"/>
      <c r="AQ30" s="667" t="s">
        <v>378</v>
      </c>
      <c r="AR30" s="668"/>
      <c r="AS30" s="668"/>
      <c r="AT30" s="668"/>
      <c r="AU30" s="668"/>
      <c r="AV30" s="669"/>
      <c r="AX30" s="667" t="s">
        <v>687</v>
      </c>
      <c r="AY30" s="668"/>
      <c r="AZ30" s="668"/>
      <c r="BA30" s="668"/>
      <c r="BB30" s="668"/>
      <c r="BC30" s="668"/>
      <c r="BD30" s="668"/>
      <c r="BE30" s="669"/>
      <c r="BR30" s="686" t="s">
        <v>379</v>
      </c>
      <c r="BS30" s="687"/>
      <c r="BT30" s="687"/>
      <c r="BU30" s="688"/>
      <c r="BV30" s="686" t="s">
        <v>380</v>
      </c>
      <c r="BW30" s="687"/>
      <c r="BX30" s="687"/>
      <c r="BY30" s="688"/>
      <c r="BZ30" s="162" t="s">
        <v>381</v>
      </c>
    </row>
    <row r="31" spans="4:78" ht="19.5" customHeight="1" x14ac:dyDescent="0.35">
      <c r="D31" s="692" t="s">
        <v>369</v>
      </c>
      <c r="E31" s="693"/>
      <c r="F31" s="693"/>
      <c r="G31" s="694"/>
      <c r="H31" s="680" t="s">
        <v>369</v>
      </c>
      <c r="I31" s="680"/>
      <c r="J31" s="680"/>
      <c r="K31" s="680"/>
      <c r="L31" s="680"/>
      <c r="M31" s="680"/>
      <c r="N31" s="680"/>
      <c r="O31" s="680"/>
      <c r="P31" s="681"/>
      <c r="Q31" s="675">
        <f>Lighting!E2</f>
        <v>0</v>
      </c>
      <c r="R31" s="676"/>
      <c r="S31" s="676"/>
      <c r="T31" s="676"/>
      <c r="U31" s="676"/>
      <c r="V31" s="698">
        <f>xRM!K8</f>
        <v>0</v>
      </c>
      <c r="W31" s="698"/>
      <c r="X31" s="698"/>
      <c r="Y31" s="698"/>
      <c r="Z31" s="698"/>
      <c r="AA31" s="189"/>
      <c r="AB31" s="683">
        <f>xRM!D8</f>
        <v>0</v>
      </c>
      <c r="AC31" s="684"/>
      <c r="AD31" s="684"/>
      <c r="AE31" s="684"/>
      <c r="AF31" s="684"/>
      <c r="AG31" s="684"/>
      <c r="AH31" s="685"/>
      <c r="AI31" s="664">
        <f>xRM!I8</f>
        <v>0</v>
      </c>
      <c r="AJ31" s="665"/>
      <c r="AK31" s="665"/>
      <c r="AL31" s="665"/>
      <c r="AM31" s="665"/>
      <c r="AN31" s="665"/>
      <c r="AO31" s="665"/>
      <c r="AP31" s="666"/>
      <c r="AQ31" s="675">
        <f>xRM!L8</f>
        <v>0</v>
      </c>
      <c r="AR31" s="676"/>
      <c r="AS31" s="676"/>
      <c r="AT31" s="676"/>
      <c r="AU31" s="676"/>
      <c r="AV31" s="682"/>
      <c r="AX31" s="670" t="str">
        <f t="shared" ref="AX31:AX37" si="0">IFERROR(IF((Q31-V31)/AQ31&gt;0,(Q31-V31)/AQ31,"No Payback"),"")</f>
        <v/>
      </c>
      <c r="AY31" s="670"/>
      <c r="AZ31" s="670"/>
      <c r="BA31" s="670"/>
      <c r="BB31" s="670"/>
      <c r="BC31" s="670"/>
      <c r="BD31" s="670"/>
      <c r="BE31" s="670"/>
      <c r="BR31" s="690" t="e">
        <f>SUM(#REF!)</f>
        <v>#REF!</v>
      </c>
      <c r="BS31" s="673"/>
      <c r="BT31" s="673"/>
      <c r="BU31" s="674"/>
      <c r="BV31" s="690" t="e">
        <f>SUM(#REF!)</f>
        <v>#REF!</v>
      </c>
      <c r="BW31" s="673"/>
      <c r="BX31" s="673"/>
      <c r="BY31" s="674"/>
      <c r="BZ31" s="180" t="str">
        <f>IFERROR(#REF!/#REF!,"")</f>
        <v/>
      </c>
    </row>
    <row r="32" spans="4:78" ht="19.5" customHeight="1" x14ac:dyDescent="0.35">
      <c r="D32" s="677" t="s">
        <v>70</v>
      </c>
      <c r="E32" s="678"/>
      <c r="F32" s="678"/>
      <c r="G32" s="679"/>
      <c r="H32" s="680" t="s">
        <v>78</v>
      </c>
      <c r="I32" s="680"/>
      <c r="J32" s="680"/>
      <c r="K32" s="680"/>
      <c r="L32" s="680"/>
      <c r="M32" s="680" t="s">
        <v>67</v>
      </c>
      <c r="N32" s="680" t="s">
        <v>67</v>
      </c>
      <c r="O32" s="680" t="s">
        <v>67</v>
      </c>
      <c r="P32" s="681" t="s">
        <v>67</v>
      </c>
      <c r="Q32" s="675">
        <f>SUMIF(xRM!$B$12:$B$27,$H32,xRM!$J$12:$J$27)</f>
        <v>0</v>
      </c>
      <c r="R32" s="676"/>
      <c r="S32" s="676"/>
      <c r="T32" s="676"/>
      <c r="U32" s="676"/>
      <c r="V32" s="675">
        <f>SUMIF(xRM!$B$12:$B$27,$H32,xRM!$K$12:$K$27)</f>
        <v>0</v>
      </c>
      <c r="W32" s="676"/>
      <c r="X32" s="676"/>
      <c r="Y32" s="676"/>
      <c r="Z32" s="676"/>
      <c r="AA32" s="189"/>
      <c r="AB32" s="683">
        <f>SUMIF(xRM!$B$12:$B$27,$H32,xRM!$E$12:$E$27)</f>
        <v>0</v>
      </c>
      <c r="AC32" s="684"/>
      <c r="AD32" s="684"/>
      <c r="AE32" s="684"/>
      <c r="AF32" s="684"/>
      <c r="AG32" s="684"/>
      <c r="AH32" s="685"/>
      <c r="AI32" s="664">
        <f>SUMIF(xRM!$B$12:$B$27,$H32,xRM!$D$12:$D$27)</f>
        <v>0</v>
      </c>
      <c r="AJ32" s="665"/>
      <c r="AK32" s="665"/>
      <c r="AL32" s="665"/>
      <c r="AM32" s="665"/>
      <c r="AN32" s="665"/>
      <c r="AO32" s="665"/>
      <c r="AP32" s="666"/>
      <c r="AQ32" s="675">
        <f>SUMIF(xRM!$B$12:$B$27,$H32,xRM!$L$12:$L$27)</f>
        <v>0</v>
      </c>
      <c r="AR32" s="676"/>
      <c r="AS32" s="676"/>
      <c r="AT32" s="676"/>
      <c r="AU32" s="676"/>
      <c r="AV32" s="682"/>
      <c r="AX32" s="670" t="str">
        <f t="shared" si="0"/>
        <v/>
      </c>
      <c r="AY32" s="670"/>
      <c r="AZ32" s="670"/>
      <c r="BA32" s="670"/>
      <c r="BB32" s="670"/>
      <c r="BC32" s="670"/>
      <c r="BD32" s="670"/>
      <c r="BE32" s="670"/>
      <c r="BR32" s="190"/>
      <c r="BS32" s="177"/>
      <c r="BT32" s="177"/>
      <c r="BU32" s="191"/>
      <c r="BV32" s="672"/>
      <c r="BW32" s="673"/>
      <c r="BX32" s="673"/>
      <c r="BY32" s="674"/>
      <c r="BZ32" s="180" t="str">
        <f>IFERROR(#REF!/#REF!,"")</f>
        <v/>
      </c>
    </row>
    <row r="33" spans="4:78" ht="19.5" customHeight="1" x14ac:dyDescent="0.35">
      <c r="D33" s="677"/>
      <c r="E33" s="678"/>
      <c r="F33" s="678"/>
      <c r="G33" s="679"/>
      <c r="H33" s="680" t="s">
        <v>71</v>
      </c>
      <c r="I33" s="680"/>
      <c r="J33" s="680"/>
      <c r="K33" s="680"/>
      <c r="L33" s="680"/>
      <c r="M33" s="680" t="s">
        <v>72</v>
      </c>
      <c r="N33" s="680" t="s">
        <v>72</v>
      </c>
      <c r="O33" s="680" t="s">
        <v>72</v>
      </c>
      <c r="P33" s="681" t="s">
        <v>72</v>
      </c>
      <c r="Q33" s="675">
        <f>SUMIF(xRM!$B$12:$B$27,$H33,xRM!$B$12:$B$27)</f>
        <v>0</v>
      </c>
      <c r="R33" s="676"/>
      <c r="S33" s="676"/>
      <c r="T33" s="676"/>
      <c r="U33" s="676"/>
      <c r="V33" s="675">
        <f>SUMIF(xRM!$B$12:$B$27,$H33,xRM!$K$12:$K$27)</f>
        <v>0</v>
      </c>
      <c r="W33" s="676"/>
      <c r="X33" s="676"/>
      <c r="Y33" s="676"/>
      <c r="Z33" s="676"/>
      <c r="AA33" s="189"/>
      <c r="AB33" s="683">
        <f>SUMIF(xRM!$B$12:$B$27,$H33,xRM!$E$12:$E$27)</f>
        <v>0</v>
      </c>
      <c r="AC33" s="684"/>
      <c r="AD33" s="684"/>
      <c r="AE33" s="684"/>
      <c r="AF33" s="684"/>
      <c r="AG33" s="684"/>
      <c r="AH33" s="685"/>
      <c r="AI33" s="664">
        <f>SUMIF(xRM!$B$12:$B$27,$H33,xRM!$D$12:$D$27)</f>
        <v>0</v>
      </c>
      <c r="AJ33" s="665"/>
      <c r="AK33" s="665"/>
      <c r="AL33" s="665"/>
      <c r="AM33" s="665"/>
      <c r="AN33" s="665"/>
      <c r="AO33" s="665"/>
      <c r="AP33" s="666"/>
      <c r="AQ33" s="675">
        <f>SUMIF(xRM!$B$12:$B$27,$H33,xRM!$L$12:$L$27)</f>
        <v>0</v>
      </c>
      <c r="AR33" s="676"/>
      <c r="AS33" s="676"/>
      <c r="AT33" s="676"/>
      <c r="AU33" s="676"/>
      <c r="AV33" s="682"/>
      <c r="AX33" s="670" t="str">
        <f t="shared" si="0"/>
        <v/>
      </c>
      <c r="AY33" s="670"/>
      <c r="AZ33" s="670"/>
      <c r="BA33" s="670"/>
      <c r="BB33" s="670"/>
      <c r="BC33" s="670"/>
      <c r="BD33" s="670"/>
      <c r="BE33" s="670"/>
      <c r="BR33" s="190"/>
      <c r="BS33" s="177"/>
      <c r="BT33" s="177"/>
      <c r="BU33" s="191"/>
      <c r="BV33" s="672"/>
      <c r="BW33" s="673"/>
      <c r="BX33" s="673"/>
      <c r="BY33" s="674"/>
      <c r="BZ33" s="180" t="str">
        <f>IFERROR(#REF!/#REF!,"")</f>
        <v/>
      </c>
    </row>
    <row r="34" spans="4:78" ht="19.5" customHeight="1" x14ac:dyDescent="0.35">
      <c r="D34" s="677"/>
      <c r="E34" s="678"/>
      <c r="F34" s="678"/>
      <c r="G34" s="679"/>
      <c r="H34" s="680" t="s">
        <v>70</v>
      </c>
      <c r="I34" s="680"/>
      <c r="J34" s="680"/>
      <c r="K34" s="680"/>
      <c r="L34" s="680"/>
      <c r="M34" s="680" t="s">
        <v>70</v>
      </c>
      <c r="N34" s="680" t="s">
        <v>70</v>
      </c>
      <c r="O34" s="680" t="s">
        <v>70</v>
      </c>
      <c r="P34" s="681" t="s">
        <v>70</v>
      </c>
      <c r="Q34" s="675">
        <f>SUMIF(xRM!$B$12:$B$27,$H34,xRM!$J$12:$J$27)</f>
        <v>0</v>
      </c>
      <c r="R34" s="676"/>
      <c r="S34" s="676"/>
      <c r="T34" s="676"/>
      <c r="U34" s="676"/>
      <c r="V34" s="675">
        <f>SUMIF(xRM!$B$12:$B$27,$H34,xRM!$K$12:$K$27)</f>
        <v>0</v>
      </c>
      <c r="W34" s="676"/>
      <c r="X34" s="676"/>
      <c r="Y34" s="676"/>
      <c r="Z34" s="676"/>
      <c r="AA34" s="189"/>
      <c r="AB34" s="683">
        <f>SUMIF(xRM!$B$12:$B$27,$H34,xRM!$E$12:$E$27)</f>
        <v>0</v>
      </c>
      <c r="AC34" s="684"/>
      <c r="AD34" s="684"/>
      <c r="AE34" s="684"/>
      <c r="AF34" s="684"/>
      <c r="AG34" s="684"/>
      <c r="AH34" s="685"/>
      <c r="AI34" s="664">
        <f>SUMIF(xRM!$B$12:$B$27,$H34,xRM!$D$12:$D$27)</f>
        <v>0</v>
      </c>
      <c r="AJ34" s="665"/>
      <c r="AK34" s="665"/>
      <c r="AL34" s="665"/>
      <c r="AM34" s="665"/>
      <c r="AN34" s="665"/>
      <c r="AO34" s="665"/>
      <c r="AP34" s="666"/>
      <c r="AQ34" s="675">
        <f>SUMIF(xRM!$B$12:$B$27,$H34,xRM!$L$12:$L$27)</f>
        <v>0</v>
      </c>
      <c r="AR34" s="676"/>
      <c r="AS34" s="676"/>
      <c r="AT34" s="676"/>
      <c r="AU34" s="676"/>
      <c r="AV34" s="682"/>
      <c r="AX34" s="670" t="str">
        <f t="shared" si="0"/>
        <v/>
      </c>
      <c r="AY34" s="670"/>
      <c r="AZ34" s="670"/>
      <c r="BA34" s="670"/>
      <c r="BB34" s="670"/>
      <c r="BC34" s="670"/>
      <c r="BD34" s="670"/>
      <c r="BE34" s="670"/>
      <c r="BR34" s="190"/>
      <c r="BS34" s="177"/>
      <c r="BT34" s="177"/>
      <c r="BU34" s="191"/>
      <c r="BV34" s="672"/>
      <c r="BW34" s="673"/>
      <c r="BX34" s="673"/>
      <c r="BY34" s="674"/>
      <c r="BZ34" s="180" t="str">
        <f>IFERROR(#REF!/#REF!,"")</f>
        <v/>
      </c>
    </row>
    <row r="35" spans="4:78" ht="19.5" customHeight="1" x14ac:dyDescent="0.35">
      <c r="D35" s="677"/>
      <c r="E35" s="678"/>
      <c r="F35" s="678"/>
      <c r="G35" s="679"/>
      <c r="H35" s="680" t="s">
        <v>75</v>
      </c>
      <c r="I35" s="680"/>
      <c r="J35" s="680"/>
      <c r="K35" s="680"/>
      <c r="L35" s="680"/>
      <c r="M35" s="680" t="s">
        <v>78</v>
      </c>
      <c r="N35" s="680" t="s">
        <v>78</v>
      </c>
      <c r="O35" s="680" t="s">
        <v>78</v>
      </c>
      <c r="P35" s="681" t="s">
        <v>78</v>
      </c>
      <c r="Q35" s="675">
        <f>SUMIF(xRM!$B$12:$B$27,$H35,xRM!$J$12:$J$27)</f>
        <v>0</v>
      </c>
      <c r="R35" s="676"/>
      <c r="S35" s="676"/>
      <c r="T35" s="676"/>
      <c r="U35" s="676"/>
      <c r="V35" s="675">
        <f>SUMIF(xRM!$B$12:$B$27,$H35,xRM!$K$12:$K$27)</f>
        <v>0</v>
      </c>
      <c r="W35" s="676"/>
      <c r="X35" s="676"/>
      <c r="Y35" s="676"/>
      <c r="Z35" s="676"/>
      <c r="AA35" s="189"/>
      <c r="AB35" s="683">
        <f>SUMIF(xRM!$B$12:$B$27,$H35,xRM!$E$12:$E$27)</f>
        <v>0</v>
      </c>
      <c r="AC35" s="684"/>
      <c r="AD35" s="684"/>
      <c r="AE35" s="684"/>
      <c r="AF35" s="684"/>
      <c r="AG35" s="684"/>
      <c r="AH35" s="685"/>
      <c r="AI35" s="664">
        <f>SUMIF(xRM!$B$12:$B$27,$H35,xRM!$D$12:$D$27)</f>
        <v>0</v>
      </c>
      <c r="AJ35" s="665"/>
      <c r="AK35" s="665"/>
      <c r="AL35" s="665"/>
      <c r="AM35" s="665"/>
      <c r="AN35" s="665"/>
      <c r="AO35" s="665"/>
      <c r="AP35" s="666"/>
      <c r="AQ35" s="675">
        <f>SUMIF(xRM!$B$12:$B$27,$H35,xRM!$L$12:$L$27)</f>
        <v>0</v>
      </c>
      <c r="AR35" s="676"/>
      <c r="AS35" s="676"/>
      <c r="AT35" s="676"/>
      <c r="AU35" s="676"/>
      <c r="AV35" s="682"/>
      <c r="AX35" s="670" t="str">
        <f t="shared" si="0"/>
        <v/>
      </c>
      <c r="AY35" s="670"/>
      <c r="AZ35" s="670"/>
      <c r="BA35" s="670"/>
      <c r="BB35" s="670"/>
      <c r="BC35" s="670"/>
      <c r="BD35" s="670"/>
      <c r="BE35" s="670"/>
      <c r="BR35" s="192"/>
      <c r="BS35" s="193"/>
      <c r="BT35" s="193"/>
      <c r="BU35" s="194"/>
      <c r="BV35" s="672"/>
      <c r="BW35" s="673"/>
      <c r="BX35" s="673"/>
      <c r="BY35" s="674"/>
      <c r="BZ35" s="180" t="str">
        <f>IFERROR(#REF!/#REF!,"")</f>
        <v/>
      </c>
    </row>
    <row r="36" spans="4:78" ht="19.5" hidden="1" customHeight="1" x14ac:dyDescent="0.35">
      <c r="D36" s="677"/>
      <c r="E36" s="678"/>
      <c r="F36" s="678"/>
      <c r="G36" s="679"/>
      <c r="H36" s="680" t="s">
        <v>67</v>
      </c>
      <c r="I36" s="680"/>
      <c r="J36" s="680"/>
      <c r="K36" s="680"/>
      <c r="L36" s="680"/>
      <c r="M36" s="680" t="s">
        <v>78</v>
      </c>
      <c r="N36" s="680" t="s">
        <v>78</v>
      </c>
      <c r="O36" s="680" t="s">
        <v>78</v>
      </c>
      <c r="P36" s="681" t="s">
        <v>78</v>
      </c>
      <c r="Q36" s="675">
        <f>SUMIF(xRM!$B$12:$B$27,$H36,xRM!$J$12:$J$27)</f>
        <v>0</v>
      </c>
      <c r="R36" s="676"/>
      <c r="S36" s="676"/>
      <c r="T36" s="676"/>
      <c r="U36" s="676"/>
      <c r="V36" s="675">
        <f>SUMIF(xRM!$B$12:$B$27,$H36,xRM!$K$12:$K$27)</f>
        <v>0</v>
      </c>
      <c r="W36" s="676"/>
      <c r="X36" s="676"/>
      <c r="Y36" s="676"/>
      <c r="Z36" s="676"/>
      <c r="AA36" s="189"/>
      <c r="AB36" s="683">
        <f>SUMIF(xRM!$B$12:$B$27,$H36,xRM!$E$12:$E$27)</f>
        <v>0</v>
      </c>
      <c r="AC36" s="684"/>
      <c r="AD36" s="684"/>
      <c r="AE36" s="684"/>
      <c r="AF36" s="684"/>
      <c r="AG36" s="684"/>
      <c r="AH36" s="685"/>
      <c r="AI36" s="664">
        <f>SUMIF(xRM!$B$12:$B$27,$H36,xRM!$D$12:$D$27)</f>
        <v>0</v>
      </c>
      <c r="AJ36" s="665"/>
      <c r="AK36" s="665"/>
      <c r="AL36" s="665"/>
      <c r="AM36" s="665"/>
      <c r="AN36" s="665"/>
      <c r="AO36" s="665"/>
      <c r="AP36" s="666"/>
      <c r="AQ36" s="675">
        <f>SUMIF(xRM!$B$12:$B$27,$H36,xRM!$L$12:$L$27)</f>
        <v>0</v>
      </c>
      <c r="AR36" s="676"/>
      <c r="AS36" s="676"/>
      <c r="AT36" s="676"/>
      <c r="AU36" s="676"/>
      <c r="AV36" s="682"/>
      <c r="AX36" s="670" t="str">
        <f t="shared" si="0"/>
        <v/>
      </c>
      <c r="AY36" s="670"/>
      <c r="AZ36" s="670"/>
      <c r="BA36" s="670"/>
      <c r="BB36" s="670"/>
      <c r="BC36" s="670"/>
      <c r="BD36" s="670"/>
      <c r="BE36" s="670"/>
      <c r="BR36" s="192"/>
      <c r="BS36" s="193"/>
      <c r="BT36" s="193"/>
      <c r="BU36" s="194"/>
      <c r="BV36" s="672"/>
      <c r="BW36" s="673"/>
      <c r="BX36" s="673"/>
      <c r="BY36" s="674"/>
      <c r="BZ36" s="180" t="str">
        <f>IFERROR(#REF!/#REF!,"")</f>
        <v/>
      </c>
    </row>
    <row r="37" spans="4:78" ht="19.5" hidden="1" customHeight="1" x14ac:dyDescent="0.35">
      <c r="D37" s="677"/>
      <c r="E37" s="678"/>
      <c r="F37" s="678"/>
      <c r="G37" s="679"/>
      <c r="H37" s="680" t="s">
        <v>72</v>
      </c>
      <c r="I37" s="680"/>
      <c r="J37" s="680"/>
      <c r="K37" s="680"/>
      <c r="L37" s="680"/>
      <c r="M37" s="680" t="s">
        <v>78</v>
      </c>
      <c r="N37" s="680" t="s">
        <v>78</v>
      </c>
      <c r="O37" s="680" t="s">
        <v>78</v>
      </c>
      <c r="P37" s="681" t="s">
        <v>78</v>
      </c>
      <c r="Q37" s="675">
        <f>SUMIF(xRM!$B$12:$B$27,$H37,xRM!$J$12:$J$27)</f>
        <v>0</v>
      </c>
      <c r="R37" s="676"/>
      <c r="S37" s="676"/>
      <c r="T37" s="676"/>
      <c r="U37" s="676"/>
      <c r="V37" s="675">
        <f>SUMIF(xRM!$B$12:$B$27,$H37,xRM!$K$12:$K$27)</f>
        <v>0</v>
      </c>
      <c r="W37" s="676"/>
      <c r="X37" s="676"/>
      <c r="Y37" s="676"/>
      <c r="Z37" s="676"/>
      <c r="AA37" s="189"/>
      <c r="AB37" s="683">
        <f>SUMIF(xRM!$B$12:$B$27,$H37,xRM!$E$12:$E$27)</f>
        <v>0</v>
      </c>
      <c r="AC37" s="684"/>
      <c r="AD37" s="684"/>
      <c r="AE37" s="684"/>
      <c r="AF37" s="684"/>
      <c r="AG37" s="684"/>
      <c r="AH37" s="685"/>
      <c r="AI37" s="664">
        <f>SUMIF(xRM!$B$12:$B$27,$H37,xRM!$D$12:$D$27)</f>
        <v>0</v>
      </c>
      <c r="AJ37" s="665"/>
      <c r="AK37" s="665"/>
      <c r="AL37" s="665"/>
      <c r="AM37" s="665"/>
      <c r="AN37" s="665"/>
      <c r="AO37" s="665"/>
      <c r="AP37" s="666"/>
      <c r="AQ37" s="675">
        <f>SUMIF(xRM!$B$12:$B$27,$H37,xRM!$L$12:$L$27)</f>
        <v>0</v>
      </c>
      <c r="AR37" s="676"/>
      <c r="AS37" s="676"/>
      <c r="AT37" s="676"/>
      <c r="AU37" s="676"/>
      <c r="AV37" s="682"/>
      <c r="AX37" s="670" t="str">
        <f t="shared" si="0"/>
        <v/>
      </c>
      <c r="AY37" s="670"/>
      <c r="AZ37" s="670"/>
      <c r="BA37" s="670"/>
      <c r="BB37" s="670"/>
      <c r="BC37" s="670"/>
      <c r="BD37" s="670"/>
      <c r="BE37" s="670"/>
      <c r="BR37" s="192"/>
      <c r="BS37" s="193"/>
      <c r="BT37" s="193"/>
      <c r="BU37" s="194"/>
      <c r="BV37" s="672"/>
      <c r="BW37" s="673"/>
      <c r="BX37" s="673"/>
      <c r="BY37" s="674"/>
      <c r="BZ37" s="180" t="str">
        <f>IFERROR(#REF!/#REF!,"")</f>
        <v/>
      </c>
    </row>
    <row r="38" spans="4:78" ht="14.25" customHeight="1" x14ac:dyDescent="0.35"/>
    <row r="39" spans="4:78" ht="14.5" hidden="1" customHeight="1" x14ac:dyDescent="0.35">
      <c r="D39" s="689" t="s">
        <v>392</v>
      </c>
      <c r="E39" s="689"/>
      <c r="F39" s="689"/>
      <c r="G39" s="689"/>
      <c r="H39" s="689"/>
      <c r="I39" s="689"/>
      <c r="J39" s="689"/>
      <c r="K39" s="689"/>
      <c r="L39" s="689"/>
      <c r="M39" s="689"/>
      <c r="N39" s="689"/>
      <c r="O39" s="689"/>
      <c r="P39" s="689"/>
      <c r="Q39" s="440" t="s">
        <v>375</v>
      </c>
      <c r="R39" s="440"/>
      <c r="S39" s="440"/>
      <c r="T39" s="440"/>
      <c r="U39" s="440"/>
      <c r="V39" s="440"/>
      <c r="W39" s="440"/>
      <c r="X39" s="440"/>
      <c r="Y39" s="440"/>
      <c r="Z39" s="440"/>
      <c r="AA39" s="185"/>
      <c r="AB39" s="195" t="s">
        <v>384</v>
      </c>
      <c r="AC39" s="195"/>
      <c r="AD39" s="195"/>
      <c r="AE39" s="195"/>
      <c r="AF39" s="195"/>
      <c r="AG39" s="195"/>
      <c r="AH39" s="195"/>
      <c r="AI39" s="195"/>
      <c r="AJ39" s="195"/>
      <c r="AK39" s="195"/>
      <c r="AL39" s="195"/>
      <c r="AM39" s="195"/>
      <c r="AN39" s="195"/>
      <c r="AO39" s="195"/>
      <c r="AP39" s="195"/>
      <c r="AQ39" s="195"/>
      <c r="AR39" s="195"/>
      <c r="AS39" s="195"/>
      <c r="AT39" s="195"/>
      <c r="AU39" s="195"/>
      <c r="AV39" s="195"/>
      <c r="AX39" s="196" t="s">
        <v>687</v>
      </c>
      <c r="AY39" s="196"/>
      <c r="AZ39" s="196"/>
      <c r="BA39" s="196"/>
      <c r="BB39" s="196"/>
      <c r="BC39" s="196"/>
      <c r="BD39" s="196"/>
      <c r="BE39" s="196"/>
      <c r="BL39" s="162" t="s">
        <v>376</v>
      </c>
      <c r="BR39" s="186" t="s">
        <v>377</v>
      </c>
      <c r="BS39" s="187"/>
      <c r="BT39" s="187"/>
      <c r="BU39" s="187"/>
      <c r="BV39" s="187"/>
      <c r="BW39" s="187"/>
      <c r="BX39" s="187"/>
      <c r="BY39" s="187"/>
    </row>
    <row r="40" spans="4:78" ht="45.65" customHeight="1" x14ac:dyDescent="0.35">
      <c r="D40" s="689"/>
      <c r="E40" s="689"/>
      <c r="F40" s="689"/>
      <c r="G40" s="689"/>
      <c r="H40" s="689"/>
      <c r="I40" s="689"/>
      <c r="J40" s="689"/>
      <c r="K40" s="689"/>
      <c r="L40" s="689"/>
      <c r="M40" s="689"/>
      <c r="N40" s="689"/>
      <c r="O40" s="689"/>
      <c r="P40" s="689"/>
      <c r="Q40" s="667" t="s">
        <v>385</v>
      </c>
      <c r="R40" s="668"/>
      <c r="S40" s="668"/>
      <c r="T40" s="668"/>
      <c r="U40" s="669"/>
      <c r="V40" s="667" t="s">
        <v>784</v>
      </c>
      <c r="W40" s="668"/>
      <c r="X40" s="668"/>
      <c r="Y40" s="668"/>
      <c r="Z40" s="669"/>
      <c r="AA40" s="188"/>
      <c r="AB40" s="667" t="s">
        <v>388</v>
      </c>
      <c r="AC40" s="668"/>
      <c r="AD40" s="668"/>
      <c r="AE40" s="668"/>
      <c r="AF40" s="669"/>
      <c r="AG40" s="667" t="s">
        <v>431</v>
      </c>
      <c r="AH40" s="668"/>
      <c r="AI40" s="668"/>
      <c r="AJ40" s="668"/>
      <c r="AK40" s="669"/>
      <c r="AL40" s="667" t="s">
        <v>389</v>
      </c>
      <c r="AM40" s="668"/>
      <c r="AN40" s="668"/>
      <c r="AO40" s="668"/>
      <c r="AP40" s="669"/>
      <c r="AQ40" s="667" t="s">
        <v>378</v>
      </c>
      <c r="AR40" s="668"/>
      <c r="AS40" s="668"/>
      <c r="AT40" s="668"/>
      <c r="AU40" s="668"/>
      <c r="AV40" s="669"/>
      <c r="AX40" s="667" t="s">
        <v>687</v>
      </c>
      <c r="AY40" s="668"/>
      <c r="AZ40" s="668"/>
      <c r="BA40" s="668"/>
      <c r="BB40" s="668"/>
      <c r="BC40" s="668"/>
      <c r="BD40" s="668"/>
      <c r="BE40" s="669"/>
      <c r="BR40" s="686" t="s">
        <v>379</v>
      </c>
      <c r="BS40" s="687"/>
      <c r="BT40" s="687"/>
      <c r="BU40" s="688"/>
      <c r="BV40" s="686" t="s">
        <v>380</v>
      </c>
      <c r="BW40" s="687"/>
      <c r="BX40" s="687"/>
      <c r="BY40" s="688"/>
      <c r="BZ40" s="162" t="s">
        <v>381</v>
      </c>
    </row>
    <row r="41" spans="4:78" ht="19.5" customHeight="1" x14ac:dyDescent="0.35">
      <c r="D41" s="677" t="s">
        <v>70</v>
      </c>
      <c r="E41" s="678"/>
      <c r="F41" s="678"/>
      <c r="G41" s="679"/>
      <c r="H41" s="680" t="s">
        <v>78</v>
      </c>
      <c r="I41" s="680"/>
      <c r="J41" s="680"/>
      <c r="K41" s="680"/>
      <c r="L41" s="680"/>
      <c r="M41" s="680" t="s">
        <v>67</v>
      </c>
      <c r="N41" s="680" t="s">
        <v>67</v>
      </c>
      <c r="O41" s="680" t="s">
        <v>67</v>
      </c>
      <c r="P41" s="681" t="s">
        <v>67</v>
      </c>
      <c r="Q41" s="675">
        <f>SUMIF(xRM!$B$32:$B$40,$H41,xRM!$J$32:$J$40)</f>
        <v>0</v>
      </c>
      <c r="R41" s="676"/>
      <c r="S41" s="676"/>
      <c r="T41" s="676"/>
      <c r="U41" s="676"/>
      <c r="V41" s="675">
        <f>SUMIF(xRM!$B$32:$B$40,$H41,xRM!$K$32:$K$40)</f>
        <v>0</v>
      </c>
      <c r="W41" s="676"/>
      <c r="X41" s="676"/>
      <c r="Y41" s="676"/>
      <c r="Z41" s="676"/>
      <c r="AB41" s="671">
        <f>SUMIF(xRM!$B$32:$B$40,$H41,xRM!$E$32:$E$40)</f>
        <v>0</v>
      </c>
      <c r="AC41" s="670"/>
      <c r="AD41" s="670"/>
      <c r="AE41" s="670"/>
      <c r="AF41" s="670"/>
      <c r="AG41" s="664">
        <f>SUMIF(xRM!$B$32:$B$40,$H41,xRM!$D$32:$D$40)</f>
        <v>0</v>
      </c>
      <c r="AH41" s="665"/>
      <c r="AI41" s="665"/>
      <c r="AJ41" s="665"/>
      <c r="AK41" s="665"/>
      <c r="AL41" s="671">
        <f>SUMIF(xRM!$B$32:$B$40,$H41,xRM!$H$32:$H$40)</f>
        <v>0</v>
      </c>
      <c r="AM41" s="670"/>
      <c r="AN41" s="670"/>
      <c r="AO41" s="670"/>
      <c r="AP41" s="670"/>
      <c r="AQ41" s="675">
        <f>SUMIF(xRM!$B$32:$B$40,$H41,xRM!$L$32:$L$40)</f>
        <v>0</v>
      </c>
      <c r="AR41" s="676"/>
      <c r="AS41" s="676"/>
      <c r="AT41" s="676"/>
      <c r="AU41" s="676"/>
      <c r="AV41" s="682"/>
      <c r="AX41" s="670" t="str">
        <f>IFERROR(IF((Q41-V41)/AQ41&gt;0,(Q41-V41)/AQ41,"No Payback"),"")</f>
        <v/>
      </c>
      <c r="AY41" s="670"/>
      <c r="AZ41" s="670"/>
      <c r="BA41" s="670"/>
      <c r="BB41" s="670"/>
      <c r="BC41" s="670"/>
      <c r="BD41" s="670"/>
      <c r="BE41" s="670"/>
      <c r="BR41" s="190"/>
      <c r="BS41" s="177"/>
      <c r="BT41" s="177"/>
      <c r="BU41" s="191"/>
      <c r="BV41" s="672"/>
      <c r="BW41" s="673"/>
      <c r="BX41" s="673"/>
      <c r="BY41" s="674"/>
      <c r="BZ41" s="180" t="str">
        <f>IFERROR(#REF!/#REF!,"")</f>
        <v/>
      </c>
    </row>
    <row r="42" spans="4:78" ht="19.5" customHeight="1" x14ac:dyDescent="0.35">
      <c r="D42" s="677"/>
      <c r="E42" s="678"/>
      <c r="F42" s="678"/>
      <c r="G42" s="679"/>
      <c r="H42" s="680" t="s">
        <v>71</v>
      </c>
      <c r="I42" s="680"/>
      <c r="J42" s="680"/>
      <c r="K42" s="680"/>
      <c r="L42" s="680"/>
      <c r="M42" s="680" t="s">
        <v>72</v>
      </c>
      <c r="N42" s="680" t="s">
        <v>72</v>
      </c>
      <c r="O42" s="680" t="s">
        <v>72</v>
      </c>
      <c r="P42" s="681" t="s">
        <v>72</v>
      </c>
      <c r="Q42" s="675">
        <f>SUMIF(xRM!$B$32:$B$40,$H42,xRM!$J$32:$J$40)</f>
        <v>0</v>
      </c>
      <c r="R42" s="676"/>
      <c r="S42" s="676"/>
      <c r="T42" s="676"/>
      <c r="U42" s="676"/>
      <c r="V42" s="675">
        <f>SUMIF(xRM!$B$32:$B$40,$H42,xRM!$K$32:$K$40)</f>
        <v>0</v>
      </c>
      <c r="W42" s="676"/>
      <c r="X42" s="676"/>
      <c r="Y42" s="676"/>
      <c r="Z42" s="676"/>
      <c r="AB42" s="671">
        <f>SUMIF(xRM!$B$32:$B$40,$H42,xRM!$E$32:$E$40)</f>
        <v>0</v>
      </c>
      <c r="AC42" s="670"/>
      <c r="AD42" s="670"/>
      <c r="AE42" s="670"/>
      <c r="AF42" s="670"/>
      <c r="AG42" s="664">
        <f>SUMIF(xRM!$B$32:$B$40,$H42,xRM!$D$32:$D$40)</f>
        <v>0</v>
      </c>
      <c r="AH42" s="665"/>
      <c r="AI42" s="665"/>
      <c r="AJ42" s="665"/>
      <c r="AK42" s="665"/>
      <c r="AL42" s="671">
        <f>SUMIF(xRM!$B$32:$B$40,$H42,xRM!$H$32:$H$40)</f>
        <v>0</v>
      </c>
      <c r="AM42" s="670"/>
      <c r="AN42" s="670"/>
      <c r="AO42" s="670"/>
      <c r="AP42" s="670"/>
      <c r="AQ42" s="675">
        <f>SUMIF(xRM!$B$32:$B$40,$H42,xRM!$L$32:$L$40)</f>
        <v>0</v>
      </c>
      <c r="AR42" s="676"/>
      <c r="AS42" s="676"/>
      <c r="AT42" s="676"/>
      <c r="AU42" s="676"/>
      <c r="AV42" s="682"/>
      <c r="AX42" s="670" t="str">
        <f>IFERROR(IF((Q42-V42)/AQ42&gt;0,(Q42-V42)/AQ42,"No Payback"),"")</f>
        <v/>
      </c>
      <c r="AY42" s="670"/>
      <c r="AZ42" s="670"/>
      <c r="BA42" s="670"/>
      <c r="BB42" s="670"/>
      <c r="BC42" s="670"/>
      <c r="BD42" s="670"/>
      <c r="BE42" s="670"/>
      <c r="BR42" s="190"/>
      <c r="BS42" s="177"/>
      <c r="BT42" s="177"/>
      <c r="BU42" s="191"/>
      <c r="BV42" s="672"/>
      <c r="BW42" s="673"/>
      <c r="BX42" s="673"/>
      <c r="BY42" s="674"/>
      <c r="BZ42" s="180" t="str">
        <f>IFERROR(#REF!/#REF!,"")</f>
        <v/>
      </c>
    </row>
    <row r="43" spans="4:78" ht="19.5" customHeight="1" x14ac:dyDescent="0.35">
      <c r="D43" s="677"/>
      <c r="E43" s="678"/>
      <c r="F43" s="678"/>
      <c r="G43" s="679"/>
      <c r="H43" s="680" t="s">
        <v>667</v>
      </c>
      <c r="I43" s="680"/>
      <c r="J43" s="680"/>
      <c r="K43" s="680"/>
      <c r="L43" s="680"/>
      <c r="M43" s="680" t="s">
        <v>72</v>
      </c>
      <c r="N43" s="680" t="s">
        <v>72</v>
      </c>
      <c r="O43" s="680" t="s">
        <v>72</v>
      </c>
      <c r="P43" s="681" t="s">
        <v>72</v>
      </c>
      <c r="Q43" s="675">
        <f>Mechanical!F2</f>
        <v>0</v>
      </c>
      <c r="R43" s="676"/>
      <c r="S43" s="676"/>
      <c r="T43" s="676"/>
      <c r="U43" s="682"/>
      <c r="V43" s="675">
        <f>MIN(Y22*130,200000,Q43)</f>
        <v>0</v>
      </c>
      <c r="W43" s="676"/>
      <c r="X43" s="676"/>
      <c r="Y43" s="676"/>
      <c r="Z43" s="676"/>
      <c r="AB43" s="484"/>
      <c r="AC43" s="485"/>
      <c r="AD43" s="485"/>
      <c r="AE43" s="485"/>
      <c r="AF43" s="485"/>
      <c r="AG43" s="486"/>
      <c r="AH43" s="487"/>
      <c r="AI43" s="487"/>
      <c r="AJ43" s="487"/>
      <c r="AK43" s="487"/>
      <c r="AL43" s="484"/>
      <c r="AM43" s="485"/>
      <c r="AN43" s="485"/>
      <c r="AO43" s="485"/>
      <c r="AP43" s="485"/>
      <c r="AQ43" s="488"/>
      <c r="AR43" s="489"/>
      <c r="AS43" s="489"/>
      <c r="AT43" s="489"/>
      <c r="AU43" s="489"/>
      <c r="AV43" s="490"/>
      <c r="AX43" s="485"/>
      <c r="AY43" s="485"/>
      <c r="AZ43" s="485"/>
      <c r="BA43" s="485"/>
      <c r="BB43" s="485"/>
      <c r="BC43" s="485"/>
      <c r="BD43" s="485"/>
      <c r="BE43" s="485"/>
      <c r="BR43" s="190"/>
      <c r="BS43" s="177"/>
      <c r="BT43" s="177"/>
      <c r="BU43" s="191"/>
      <c r="BV43" s="517"/>
      <c r="BW43" s="515"/>
      <c r="BX43" s="515"/>
      <c r="BY43" s="516"/>
      <c r="BZ43" s="180"/>
    </row>
    <row r="44" spans="4:78" ht="19.5" hidden="1" customHeight="1" x14ac:dyDescent="0.35">
      <c r="D44" s="677"/>
      <c r="E44" s="678"/>
      <c r="F44" s="678"/>
      <c r="G44" s="679"/>
      <c r="H44" s="680" t="s">
        <v>67</v>
      </c>
      <c r="I44" s="680"/>
      <c r="J44" s="680"/>
      <c r="K44" s="680"/>
      <c r="L44" s="680"/>
      <c r="M44" s="680" t="s">
        <v>78</v>
      </c>
      <c r="N44" s="680" t="s">
        <v>78</v>
      </c>
      <c r="O44" s="680" t="s">
        <v>78</v>
      </c>
      <c r="P44" s="681" t="s">
        <v>78</v>
      </c>
      <c r="Q44" s="675">
        <f>SUMIF(xRM!$B$32:$B$40,$H44,xRM!$J$32:$J$40)</f>
        <v>0</v>
      </c>
      <c r="R44" s="676"/>
      <c r="S44" s="676"/>
      <c r="T44" s="676"/>
      <c r="U44" s="676"/>
      <c r="V44" s="675">
        <f>SUMIF(xRM!$B$32:$B$40,$H44,xRM!$K$32:$K$40)</f>
        <v>0</v>
      </c>
      <c r="W44" s="676"/>
      <c r="X44" s="676"/>
      <c r="Y44" s="676"/>
      <c r="Z44" s="676"/>
      <c r="AB44" s="671">
        <f>SUMIF(xRM!$B$32:$B$40,$H44,xRM!$E$32:$E$40)</f>
        <v>0</v>
      </c>
      <c r="AC44" s="670"/>
      <c r="AD44" s="670"/>
      <c r="AE44" s="670"/>
      <c r="AF44" s="670"/>
      <c r="AG44" s="664">
        <f>SUMIF(xRM!$B$32:$B$40,$H44,xRM!$D$32:$D$40)</f>
        <v>0</v>
      </c>
      <c r="AH44" s="665"/>
      <c r="AI44" s="665"/>
      <c r="AJ44" s="665"/>
      <c r="AK44" s="665"/>
      <c r="AL44" s="671">
        <f>SUMIF(xRM!$B$32:$B$40,$H44,xRM!$H$32:$H$40)</f>
        <v>0</v>
      </c>
      <c r="AM44" s="670"/>
      <c r="AN44" s="670"/>
      <c r="AO44" s="670"/>
      <c r="AP44" s="670"/>
      <c r="AQ44" s="675">
        <f>SUMIF(xRM!$B$32:$B$40,$H44,xRM!$L$32:$L$40)</f>
        <v>0</v>
      </c>
      <c r="AR44" s="676"/>
      <c r="AS44" s="676"/>
      <c r="AT44" s="676"/>
      <c r="AU44" s="676"/>
      <c r="AV44" s="682"/>
      <c r="AX44" s="670" t="str">
        <f>IFERROR(IF((Q44-V44)/AQ44&gt;0,(Q44-V44)/AQ44,"No Payback"),"")</f>
        <v/>
      </c>
      <c r="AY44" s="670"/>
      <c r="AZ44" s="670"/>
      <c r="BA44" s="670"/>
      <c r="BB44" s="670"/>
      <c r="BC44" s="670"/>
      <c r="BD44" s="670"/>
      <c r="BE44" s="670"/>
      <c r="BR44" s="192"/>
      <c r="BS44" s="193"/>
      <c r="BT44" s="193"/>
      <c r="BU44" s="194"/>
      <c r="BV44" s="672"/>
      <c r="BW44" s="673"/>
      <c r="BX44" s="673"/>
      <c r="BY44" s="674"/>
      <c r="BZ44" s="180" t="str">
        <f>IFERROR(#REF!/#REF!,"")</f>
        <v/>
      </c>
    </row>
    <row r="45" spans="4:78" ht="14.25" customHeight="1" x14ac:dyDescent="0.35"/>
    <row r="49" spans="40:40" ht="14.25" customHeight="1" x14ac:dyDescent="0.35">
      <c r="AN49" s="594"/>
    </row>
  </sheetData>
  <sheetProtection algorithmName="SHA-512" hashValue="XZuuC6NTA0YQDMagWZgox6iTGlv4R/dR5xo8Ry3j6pV3QncFrGotAPE6g1a7cIYdf4EKxW0BT/XZGnlN0M24Xg==" saltValue="ZLB+o6jC64nzbAU7OnWAqA==" spinCount="100000" sheet="1" objects="1" scenarios="1"/>
  <mergeCells count="125">
    <mergeCell ref="H43:P43"/>
    <mergeCell ref="Q43:U43"/>
    <mergeCell ref="V43:Z43"/>
    <mergeCell ref="Y22:AE22"/>
    <mergeCell ref="Y14:AE14"/>
    <mergeCell ref="Y16:AE16"/>
    <mergeCell ref="Y17:AE17"/>
    <mergeCell ref="N6:AH6"/>
    <mergeCell ref="N7:AH7"/>
    <mergeCell ref="N8:AH8"/>
    <mergeCell ref="N9:AH9"/>
    <mergeCell ref="Y18:AE18"/>
    <mergeCell ref="Y19:AE19"/>
    <mergeCell ref="H34:P34"/>
    <mergeCell ref="AB33:AH33"/>
    <mergeCell ref="Y15:AE15"/>
    <mergeCell ref="BR31:BU31"/>
    <mergeCell ref="AX31:BE31"/>
    <mergeCell ref="Y20:AE20"/>
    <mergeCell ref="D31:G31"/>
    <mergeCell ref="H31:P31"/>
    <mergeCell ref="BR30:BU30"/>
    <mergeCell ref="BV30:BY30"/>
    <mergeCell ref="D29:P30"/>
    <mergeCell ref="Q29:W29"/>
    <mergeCell ref="Y23:AE23"/>
    <mergeCell ref="Y25:AE25"/>
    <mergeCell ref="BV31:BY31"/>
    <mergeCell ref="AQ31:AV31"/>
    <mergeCell ref="AB30:AH30"/>
    <mergeCell ref="AQ30:AV30"/>
    <mergeCell ref="AI30:AP30"/>
    <mergeCell ref="Q31:U31"/>
    <mergeCell ref="V31:Z31"/>
    <mergeCell ref="AB31:AH31"/>
    <mergeCell ref="AI31:AP31"/>
    <mergeCell ref="AX30:BE30"/>
    <mergeCell ref="Q30:U30"/>
    <mergeCell ref="V30:Z30"/>
    <mergeCell ref="Y21:AE21"/>
    <mergeCell ref="H44:P44"/>
    <mergeCell ref="AQ42:AV42"/>
    <mergeCell ref="Q34:U34"/>
    <mergeCell ref="V34:Z34"/>
    <mergeCell ref="BV44:BY44"/>
    <mergeCell ref="BV42:BY42"/>
    <mergeCell ref="BV41:BY41"/>
    <mergeCell ref="BR40:BU40"/>
    <mergeCell ref="BV40:BY40"/>
    <mergeCell ref="AQ37:AV37"/>
    <mergeCell ref="BV37:BY37"/>
    <mergeCell ref="AQ34:AV34"/>
    <mergeCell ref="BV34:BY34"/>
    <mergeCell ref="BV35:BY35"/>
    <mergeCell ref="D39:P40"/>
    <mergeCell ref="AQ36:AV36"/>
    <mergeCell ref="BV36:BY36"/>
    <mergeCell ref="H35:P35"/>
    <mergeCell ref="D32:G37"/>
    <mergeCell ref="AX40:BE40"/>
    <mergeCell ref="Q40:U40"/>
    <mergeCell ref="AG40:AK40"/>
    <mergeCell ref="AL40:AP40"/>
    <mergeCell ref="AQ40:AV40"/>
    <mergeCell ref="AQ32:AV32"/>
    <mergeCell ref="Q32:U32"/>
    <mergeCell ref="H36:P36"/>
    <mergeCell ref="V32:Z32"/>
    <mergeCell ref="H37:P37"/>
    <mergeCell ref="AQ33:AV33"/>
    <mergeCell ref="H33:P33"/>
    <mergeCell ref="H32:P32"/>
    <mergeCell ref="BV33:BY33"/>
    <mergeCell ref="Q35:U35"/>
    <mergeCell ref="V35:Z35"/>
    <mergeCell ref="AB35:AH35"/>
    <mergeCell ref="AI35:AP35"/>
    <mergeCell ref="AX35:BE35"/>
    <mergeCell ref="AX36:BE36"/>
    <mergeCell ref="AX37:BE37"/>
    <mergeCell ref="AB32:AH32"/>
    <mergeCell ref="AI32:AP32"/>
    <mergeCell ref="AX32:BE32"/>
    <mergeCell ref="AB34:AH34"/>
    <mergeCell ref="AI34:AP34"/>
    <mergeCell ref="AX34:BE34"/>
    <mergeCell ref="Q33:U33"/>
    <mergeCell ref="V33:Z33"/>
    <mergeCell ref="AI33:AP33"/>
    <mergeCell ref="AX33:BE33"/>
    <mergeCell ref="BV32:BY32"/>
    <mergeCell ref="Q41:U41"/>
    <mergeCell ref="V41:Z41"/>
    <mergeCell ref="D41:G44"/>
    <mergeCell ref="H41:P41"/>
    <mergeCell ref="AQ41:AV41"/>
    <mergeCell ref="H42:P42"/>
    <mergeCell ref="AQ35:AV35"/>
    <mergeCell ref="AQ44:AV44"/>
    <mergeCell ref="Q42:U42"/>
    <mergeCell ref="V42:Z42"/>
    <mergeCell ref="Q44:U44"/>
    <mergeCell ref="V44:Z44"/>
    <mergeCell ref="Q36:U36"/>
    <mergeCell ref="V36:Z36"/>
    <mergeCell ref="AB36:AH36"/>
    <mergeCell ref="Q37:U37"/>
    <mergeCell ref="V37:Z37"/>
    <mergeCell ref="AB37:AH37"/>
    <mergeCell ref="AG42:AK42"/>
    <mergeCell ref="AL42:AP42"/>
    <mergeCell ref="AI36:AP36"/>
    <mergeCell ref="AI37:AP37"/>
    <mergeCell ref="V40:Z40"/>
    <mergeCell ref="AB40:AF40"/>
    <mergeCell ref="AX42:BE42"/>
    <mergeCell ref="AB44:AF44"/>
    <mergeCell ref="AG44:AK44"/>
    <mergeCell ref="AL44:AP44"/>
    <mergeCell ref="AX44:BE44"/>
    <mergeCell ref="AB41:AF41"/>
    <mergeCell ref="AG41:AK41"/>
    <mergeCell ref="AL41:AP41"/>
    <mergeCell ref="AX41:BE41"/>
    <mergeCell ref="AB42:AF42"/>
  </mergeCells>
  <pageMargins left="0.7" right="0.7" top="0.75" bottom="0.75" header="0.3" footer="0.3"/>
  <pageSetup scale="66"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FB41-73BA-4795-BFB2-788E59F54397}">
  <sheetPr>
    <tabColor rgb="FFE5F4FF"/>
    <pageSetUpPr fitToPage="1"/>
  </sheetPr>
  <dimension ref="A1:Q157"/>
  <sheetViews>
    <sheetView showGridLines="0" zoomScaleNormal="100" workbookViewId="0">
      <selection activeCell="C7" sqref="C7"/>
    </sheetView>
  </sheetViews>
  <sheetFormatPr defaultColWidth="0" defaultRowHeight="14" zeroHeight="1" x14ac:dyDescent="0.3"/>
  <cols>
    <col min="1" max="1" width="8.81640625" style="531" customWidth="1"/>
    <col min="2" max="2" width="19" style="531" customWidth="1"/>
    <col min="3" max="3" width="11.1796875" style="531" customWidth="1"/>
    <col min="4" max="7" width="8.81640625" style="531" customWidth="1"/>
    <col min="8" max="8" width="11.81640625" style="531" customWidth="1"/>
    <col min="9" max="9" width="8.81640625" style="531" customWidth="1"/>
    <col min="10" max="10" width="14.81640625" style="531" customWidth="1"/>
    <col min="11" max="11" width="13.1796875" style="531" customWidth="1"/>
    <col min="12" max="12" width="12.81640625" style="531" customWidth="1"/>
    <col min="13" max="13" width="14.1796875" style="531" customWidth="1"/>
    <col min="14" max="14" width="8.81640625" style="531" customWidth="1"/>
    <col min="15" max="17" width="0" style="531" hidden="1" customWidth="1"/>
    <col min="18" max="16384" width="8.81640625" style="531" hidden="1"/>
  </cols>
  <sheetData>
    <row r="1" spans="1:13" x14ac:dyDescent="0.3">
      <c r="A1" s="338"/>
      <c r="B1" s="338"/>
      <c r="C1" s="338"/>
      <c r="D1" s="338"/>
      <c r="E1" s="338"/>
      <c r="F1" s="338"/>
      <c r="G1" s="338"/>
      <c r="H1" s="338"/>
      <c r="I1" s="338"/>
      <c r="J1" s="338"/>
      <c r="K1" s="338"/>
      <c r="L1" s="338"/>
      <c r="M1" s="338"/>
    </row>
    <row r="2" spans="1:13" ht="25" x14ac:dyDescent="0.3">
      <c r="A2" s="733" t="s">
        <v>638</v>
      </c>
      <c r="B2" s="733"/>
      <c r="C2" s="733"/>
      <c r="D2" s="733"/>
      <c r="E2" s="733"/>
      <c r="F2" s="733"/>
      <c r="G2" s="733"/>
      <c r="H2" s="733"/>
      <c r="I2" s="733"/>
      <c r="J2" s="733"/>
      <c r="K2" s="733"/>
      <c r="L2" s="733"/>
      <c r="M2" s="733"/>
    </row>
    <row r="3" spans="1:13" ht="19" customHeight="1" x14ac:dyDescent="0.3">
      <c r="A3" s="705" t="str">
        <f>IF('Project Info'!C65="Study","This tab to be completed at the Study Stage","THIS TAB DOES NOT NEED TO BE FILLED OUT - Tab is to be filled out at the Study Stage")</f>
        <v>THIS TAB DOES NOT NEED TO BE FILLED OUT - Tab is to be filled out at the Study Stage</v>
      </c>
      <c r="B3" s="705"/>
      <c r="C3" s="705"/>
      <c r="D3" s="705"/>
      <c r="E3" s="705"/>
      <c r="F3" s="705"/>
      <c r="G3" s="705"/>
      <c r="H3" s="705"/>
      <c r="I3" s="705"/>
      <c r="J3" s="705"/>
      <c r="K3" s="705"/>
      <c r="L3" s="705"/>
      <c r="M3" s="705"/>
    </row>
    <row r="4" spans="1:13" ht="30" customHeight="1" x14ac:dyDescent="0.3">
      <c r="A4" s="423" t="str">
        <f>Userguide!$B$9</f>
        <v>MURBRP Rebate Workbook - Version 1.2 - November 2024</v>
      </c>
      <c r="B4" s="423"/>
      <c r="C4" s="339"/>
      <c r="D4" s="339"/>
      <c r="E4" s="339"/>
      <c r="F4" s="339"/>
      <c r="G4" s="339"/>
      <c r="H4" s="339"/>
      <c r="I4" s="339"/>
      <c r="J4" s="339"/>
      <c r="K4" s="339"/>
    </row>
    <row r="5" spans="1:13" ht="15.5" x14ac:dyDescent="0.3">
      <c r="A5" s="718" t="s">
        <v>501</v>
      </c>
      <c r="B5" s="718"/>
      <c r="C5" s="718"/>
      <c r="D5" s="718"/>
      <c r="E5" s="718"/>
      <c r="F5" s="718"/>
      <c r="G5" s="718"/>
      <c r="H5" s="718"/>
      <c r="I5" s="718"/>
      <c r="J5" s="718"/>
      <c r="K5" s="718"/>
      <c r="L5" s="718"/>
      <c r="M5" s="718"/>
    </row>
    <row r="6" spans="1:13" ht="15.5" x14ac:dyDescent="0.3">
      <c r="A6" s="532"/>
      <c r="B6" s="532"/>
      <c r="C6" s="532"/>
      <c r="D6" s="532"/>
      <c r="E6" s="532"/>
      <c r="F6" s="532"/>
      <c r="G6" s="532"/>
      <c r="H6" s="532"/>
      <c r="I6" s="532"/>
      <c r="J6" s="532"/>
      <c r="K6" s="532"/>
      <c r="L6" s="532"/>
      <c r="M6" s="532"/>
    </row>
    <row r="7" spans="1:13" x14ac:dyDescent="0.3">
      <c r="A7" s="424" t="s">
        <v>502</v>
      </c>
      <c r="B7" s="424"/>
      <c r="C7" s="524"/>
      <c r="D7" s="340" t="s">
        <v>503</v>
      </c>
      <c r="E7" s="338"/>
      <c r="F7" s="338"/>
      <c r="G7" s="425" t="s">
        <v>504</v>
      </c>
      <c r="H7" s="544"/>
      <c r="I7" s="563" t="s">
        <v>763</v>
      </c>
    </row>
    <row r="8" spans="1:13" ht="15.5" x14ac:dyDescent="0.3">
      <c r="A8" s="523"/>
      <c r="B8" s="523"/>
      <c r="C8" s="523"/>
      <c r="D8" s="341"/>
      <c r="E8" s="341"/>
      <c r="F8" s="341"/>
      <c r="G8" s="341"/>
      <c r="H8" s="341"/>
      <c r="I8" s="341"/>
      <c r="J8" s="341"/>
      <c r="K8" s="341"/>
      <c r="L8" s="341"/>
      <c r="M8" s="341"/>
    </row>
    <row r="9" spans="1:13" x14ac:dyDescent="0.3">
      <c r="A9" s="358" t="s">
        <v>401</v>
      </c>
      <c r="B9" s="426"/>
      <c r="C9" s="719">
        <f>'Project Info'!C55</f>
        <v>0</v>
      </c>
      <c r="D9" s="719"/>
      <c r="E9" s="719"/>
      <c r="F9" s="719"/>
      <c r="G9" s="719"/>
      <c r="H9" s="719"/>
    </row>
    <row r="10" spans="1:13" x14ac:dyDescent="0.3">
      <c r="A10" s="358" t="s">
        <v>506</v>
      </c>
      <c r="B10" s="426"/>
      <c r="C10" s="719">
        <f>'Project Info'!C6</f>
        <v>0</v>
      </c>
      <c r="D10" s="719"/>
      <c r="E10" s="719"/>
      <c r="F10" s="719"/>
      <c r="G10" s="719"/>
      <c r="H10" s="719"/>
    </row>
    <row r="11" spans="1:13" x14ac:dyDescent="0.3">
      <c r="A11" s="358" t="s">
        <v>507</v>
      </c>
      <c r="B11" s="426"/>
      <c r="C11" s="719">
        <f>'Project Info'!C8</f>
        <v>0</v>
      </c>
      <c r="D11" s="719"/>
      <c r="E11" s="719"/>
      <c r="F11" s="719"/>
      <c r="G11" s="719"/>
      <c r="H11" s="719"/>
    </row>
    <row r="12" spans="1:13" x14ac:dyDescent="0.3">
      <c r="A12" s="358" t="s">
        <v>508</v>
      </c>
      <c r="B12" s="426"/>
      <c r="C12" s="727"/>
      <c r="D12" s="727"/>
      <c r="E12" s="727"/>
      <c r="F12" s="727"/>
      <c r="G12" s="727"/>
      <c r="H12" s="727"/>
    </row>
    <row r="13" spans="1:13" x14ac:dyDescent="0.3">
      <c r="A13" s="338"/>
      <c r="B13" s="338"/>
      <c r="C13" s="338"/>
      <c r="D13" s="338"/>
      <c r="E13" s="338"/>
      <c r="F13" s="342"/>
      <c r="G13" s="342"/>
      <c r="H13" s="342"/>
      <c r="I13" s="343"/>
      <c r="J13" s="342"/>
      <c r="K13" s="342"/>
      <c r="L13" s="342"/>
      <c r="M13" s="338"/>
    </row>
    <row r="14" spans="1:13" ht="15.5" x14ac:dyDescent="0.3">
      <c r="A14" s="718" t="s">
        <v>510</v>
      </c>
      <c r="B14" s="718"/>
      <c r="C14" s="718"/>
      <c r="D14" s="718"/>
      <c r="E14" s="718"/>
      <c r="F14" s="718"/>
      <c r="G14" s="718"/>
      <c r="H14" s="718"/>
      <c r="I14" s="718"/>
      <c r="J14" s="718"/>
      <c r="K14" s="718"/>
      <c r="L14" s="718"/>
      <c r="M14" s="718"/>
    </row>
    <row r="15" spans="1:13" x14ac:dyDescent="0.3">
      <c r="A15" s="343"/>
      <c r="B15" s="343"/>
      <c r="C15" s="343"/>
      <c r="D15" s="343"/>
      <c r="E15" s="343"/>
      <c r="F15" s="343"/>
      <c r="G15" s="343"/>
      <c r="H15" s="343"/>
      <c r="I15" s="343"/>
      <c r="J15" s="343"/>
      <c r="K15" s="343"/>
      <c r="L15" s="343"/>
      <c r="M15" s="343"/>
    </row>
    <row r="16" spans="1:13" ht="15.5" x14ac:dyDescent="0.3">
      <c r="A16" s="707" t="s">
        <v>637</v>
      </c>
      <c r="B16" s="707"/>
      <c r="C16" s="707"/>
      <c r="D16" s="707"/>
      <c r="E16" s="707"/>
      <c r="F16" s="707"/>
      <c r="G16" s="707"/>
      <c r="H16" s="707"/>
      <c r="I16" s="707"/>
      <c r="J16" s="707"/>
      <c r="K16" s="707"/>
      <c r="L16" s="707"/>
      <c r="M16" s="707"/>
    </row>
    <row r="17" spans="1:13" ht="15.5" x14ac:dyDescent="0.3">
      <c r="A17" s="519"/>
      <c r="B17" s="523"/>
      <c r="C17" s="523"/>
      <c r="D17" s="341"/>
      <c r="E17" s="341"/>
      <c r="F17" s="341"/>
      <c r="G17" s="341"/>
      <c r="H17" s="341"/>
      <c r="I17" s="341"/>
      <c r="J17" s="341"/>
      <c r="K17" s="341"/>
      <c r="L17" s="341"/>
      <c r="M17" s="341"/>
    </row>
    <row r="18" spans="1:13" x14ac:dyDescent="0.3">
      <c r="A18" s="424" t="s">
        <v>505</v>
      </c>
      <c r="B18" s="427"/>
      <c r="C18" s="708"/>
      <c r="D18" s="708"/>
      <c r="E18" s="708"/>
      <c r="F18" s="708"/>
      <c r="G18" s="708"/>
      <c r="H18" s="708"/>
    </row>
    <row r="19" spans="1:13" x14ac:dyDescent="0.3">
      <c r="A19" s="358" t="s">
        <v>511</v>
      </c>
      <c r="B19" s="426"/>
      <c r="C19" s="708"/>
      <c r="D19" s="708"/>
      <c r="E19" s="708"/>
      <c r="F19" s="708"/>
      <c r="G19" s="708"/>
      <c r="H19" s="708"/>
    </row>
    <row r="20" spans="1:13" x14ac:dyDescent="0.3">
      <c r="A20" s="358" t="s">
        <v>512</v>
      </c>
      <c r="B20" s="426"/>
      <c r="C20" s="708"/>
      <c r="D20" s="708"/>
      <c r="E20" s="708"/>
      <c r="F20" s="708"/>
      <c r="G20" s="708"/>
      <c r="H20" s="708"/>
    </row>
    <row r="21" spans="1:13" x14ac:dyDescent="0.3">
      <c r="A21" s="358" t="s">
        <v>513</v>
      </c>
      <c r="B21" s="426"/>
      <c r="C21" s="709"/>
      <c r="D21" s="708"/>
      <c r="E21" s="708"/>
      <c r="F21" s="708"/>
      <c r="G21" s="708"/>
      <c r="H21" s="708"/>
      <c r="I21" s="358" t="s">
        <v>509</v>
      </c>
      <c r="J21" s="358"/>
      <c r="K21" s="708"/>
      <c r="L21" s="708"/>
    </row>
    <row r="22" spans="1:13" x14ac:dyDescent="0.3">
      <c r="A22" s="343"/>
      <c r="B22" s="343"/>
      <c r="C22" s="343"/>
      <c r="D22" s="343"/>
      <c r="E22" s="343"/>
      <c r="F22" s="343"/>
      <c r="G22" s="343"/>
      <c r="H22" s="343"/>
      <c r="I22" s="343"/>
      <c r="J22" s="343"/>
      <c r="K22" s="343"/>
      <c r="L22" s="343"/>
      <c r="M22" s="343"/>
    </row>
    <row r="23" spans="1:13" x14ac:dyDescent="0.3">
      <c r="A23" s="710" t="s">
        <v>514</v>
      </c>
      <c r="B23" s="710"/>
      <c r="C23" s="710"/>
      <c r="D23" s="710"/>
      <c r="E23" s="710"/>
      <c r="F23" s="710"/>
      <c r="G23" s="710"/>
      <c r="H23" s="710"/>
      <c r="I23" s="710"/>
      <c r="J23" s="710"/>
      <c r="K23" s="710"/>
      <c r="L23" s="710"/>
      <c r="M23" s="710"/>
    </row>
    <row r="24" spans="1:13" x14ac:dyDescent="0.3">
      <c r="A24" s="711"/>
      <c r="B24" s="712"/>
      <c r="C24" s="712"/>
      <c r="D24" s="712"/>
      <c r="E24" s="712"/>
      <c r="F24" s="712"/>
      <c r="G24" s="713"/>
      <c r="H24" s="713"/>
      <c r="I24" s="713"/>
      <c r="J24" s="713"/>
      <c r="K24" s="713"/>
      <c r="L24" s="713"/>
      <c r="M24" s="714"/>
    </row>
    <row r="25" spans="1:13" x14ac:dyDescent="0.3">
      <c r="A25" s="715"/>
      <c r="B25" s="716"/>
      <c r="C25" s="716"/>
      <c r="D25" s="716"/>
      <c r="E25" s="716"/>
      <c r="F25" s="716"/>
      <c r="G25" s="716"/>
      <c r="H25" s="716"/>
      <c r="I25" s="716"/>
      <c r="J25" s="716"/>
      <c r="K25" s="716"/>
      <c r="L25" s="716"/>
      <c r="M25" s="717"/>
    </row>
    <row r="26" spans="1:13" x14ac:dyDescent="0.3">
      <c r="A26" s="343"/>
      <c r="B26" s="343"/>
      <c r="C26" s="343"/>
      <c r="D26" s="343"/>
      <c r="E26" s="343"/>
      <c r="F26" s="343"/>
      <c r="G26" s="343"/>
      <c r="H26" s="343"/>
      <c r="I26" s="343"/>
      <c r="J26" s="343"/>
      <c r="K26" s="343"/>
      <c r="L26" s="343"/>
      <c r="M26" s="343"/>
    </row>
    <row r="27" spans="1:13" x14ac:dyDescent="0.3">
      <c r="A27" s="338"/>
      <c r="B27" s="338"/>
      <c r="C27" s="343"/>
      <c r="D27" s="344"/>
      <c r="E27" s="345"/>
      <c r="F27" s="345"/>
      <c r="G27" s="338"/>
      <c r="H27" s="338"/>
      <c r="I27" s="338"/>
      <c r="J27" s="346"/>
      <c r="K27" s="519"/>
      <c r="L27" s="519"/>
      <c r="M27" s="519"/>
    </row>
    <row r="28" spans="1:13" ht="15.5" x14ac:dyDescent="0.3">
      <c r="A28" s="706" t="s">
        <v>515</v>
      </c>
      <c r="B28" s="706"/>
      <c r="C28" s="706"/>
      <c r="D28" s="706"/>
      <c r="E28" s="706"/>
      <c r="F28" s="706"/>
      <c r="G28" s="706"/>
      <c r="H28" s="706"/>
      <c r="I28" s="706"/>
      <c r="J28" s="706"/>
      <c r="K28" s="706"/>
      <c r="L28" s="706"/>
      <c r="M28" s="706"/>
    </row>
    <row r="29" spans="1:13" x14ac:dyDescent="0.3">
      <c r="A29" s="338" t="s">
        <v>516</v>
      </c>
      <c r="B29" s="338"/>
      <c r="C29" s="338"/>
      <c r="D29" s="338"/>
      <c r="E29" s="338"/>
      <c r="F29" s="338"/>
      <c r="G29" s="338"/>
      <c r="H29" s="338"/>
      <c r="I29" s="524"/>
      <c r="J29" s="338"/>
      <c r="K29" s="347"/>
    </row>
    <row r="30" spans="1:13" x14ac:dyDescent="0.3">
      <c r="A30" s="338"/>
      <c r="B30" s="338"/>
      <c r="C30" s="338"/>
      <c r="D30" s="338"/>
      <c r="E30" s="338"/>
      <c r="F30" s="338"/>
      <c r="G30" s="338"/>
      <c r="H30" s="338"/>
      <c r="I30" s="338"/>
      <c r="J30" s="338"/>
      <c r="K30" s="338"/>
      <c r="L30" s="338"/>
      <c r="M30" s="348" t="s">
        <v>517</v>
      </c>
    </row>
    <row r="31" spans="1:13" x14ac:dyDescent="0.3">
      <c r="A31" s="338" t="s">
        <v>518</v>
      </c>
      <c r="B31" s="338"/>
      <c r="C31" s="338"/>
      <c r="D31" s="338"/>
      <c r="E31" s="338"/>
      <c r="F31" s="338"/>
      <c r="G31" s="338"/>
      <c r="H31" s="338"/>
      <c r="I31" s="524"/>
      <c r="J31" s="338"/>
      <c r="K31" s="347"/>
    </row>
    <row r="32" spans="1:13" x14ac:dyDescent="0.3">
      <c r="A32" s="338"/>
      <c r="B32" s="338"/>
      <c r="C32" s="338"/>
      <c r="D32" s="338"/>
      <c r="E32" s="338"/>
      <c r="F32" s="338"/>
      <c r="G32" s="338"/>
      <c r="H32" s="338"/>
      <c r="I32" s="338"/>
      <c r="J32" s="338"/>
      <c r="K32" s="338"/>
      <c r="L32" s="338"/>
      <c r="M32" s="348" t="s">
        <v>517</v>
      </c>
    </row>
    <row r="33" spans="1:16" ht="15.5" x14ac:dyDescent="0.3">
      <c r="A33" s="540" t="s">
        <v>519</v>
      </c>
      <c r="B33" s="533"/>
      <c r="C33" s="533"/>
      <c r="D33" s="533"/>
      <c r="E33" s="533"/>
      <c r="F33" s="533"/>
      <c r="G33" s="533"/>
      <c r="H33" s="533"/>
      <c r="I33" s="533"/>
      <c r="J33" s="533"/>
      <c r="K33" s="533"/>
      <c r="L33" s="533"/>
      <c r="M33" s="533"/>
    </row>
    <row r="34" spans="1:16" x14ac:dyDescent="0.3">
      <c r="A34" s="349"/>
      <c r="B34" s="350"/>
      <c r="C34" s="350"/>
      <c r="D34" s="350"/>
      <c r="E34" s="350"/>
      <c r="F34" s="350"/>
      <c r="G34" s="350"/>
      <c r="H34" s="350"/>
      <c r="I34" s="350"/>
      <c r="J34" s="351"/>
      <c r="K34" s="351"/>
      <c r="L34" s="352"/>
      <c r="M34" s="350"/>
    </row>
    <row r="35" spans="1:16" s="353" customFormat="1" ht="25" customHeight="1" x14ac:dyDescent="0.25">
      <c r="A35" s="338" t="s">
        <v>520</v>
      </c>
      <c r="B35" s="338"/>
      <c r="C35" s="428"/>
      <c r="D35" s="338" t="s">
        <v>521</v>
      </c>
      <c r="E35" s="338"/>
      <c r="F35" s="428"/>
      <c r="H35" s="343"/>
      <c r="I35" s="343" t="s">
        <v>522</v>
      </c>
      <c r="J35" s="428"/>
      <c r="L35" s="343" t="s">
        <v>521</v>
      </c>
      <c r="M35" s="428"/>
      <c r="P35" s="354"/>
    </row>
    <row r="36" spans="1:16" s="353" customFormat="1" ht="25" customHeight="1" x14ac:dyDescent="0.25">
      <c r="A36" s="338" t="s">
        <v>523</v>
      </c>
      <c r="B36" s="338"/>
      <c r="C36" s="428"/>
      <c r="D36" s="355"/>
      <c r="E36" s="343"/>
      <c r="F36" s="343"/>
      <c r="G36" s="343"/>
      <c r="H36" s="343"/>
      <c r="I36" s="356"/>
      <c r="K36" s="338"/>
    </row>
    <row r="37" spans="1:16" s="353" customFormat="1" ht="15" customHeight="1" x14ac:dyDescent="0.25">
      <c r="A37" s="343"/>
      <c r="B37" s="343"/>
      <c r="C37" s="357"/>
      <c r="D37" s="338"/>
      <c r="E37" s="358"/>
      <c r="F37" s="343"/>
      <c r="G37" s="343"/>
      <c r="H37" s="343"/>
      <c r="I37" s="359"/>
      <c r="J37" s="360"/>
      <c r="K37" s="338"/>
    </row>
    <row r="38" spans="1:16" s="338" customFormat="1" ht="15" customHeight="1" x14ac:dyDescent="0.35">
      <c r="A38" s="429" t="s">
        <v>524</v>
      </c>
      <c r="B38" s="362"/>
      <c r="C38" s="363"/>
      <c r="D38" s="362"/>
      <c r="E38" s="362"/>
      <c r="F38" s="362"/>
    </row>
    <row r="39" spans="1:16" s="338" customFormat="1" ht="15" customHeight="1" x14ac:dyDescent="0.35">
      <c r="A39" s="361" t="s">
        <v>525</v>
      </c>
      <c r="C39" s="430"/>
      <c r="D39" s="362"/>
      <c r="E39" s="362"/>
      <c r="F39" s="362"/>
      <c r="I39" s="519" t="s">
        <v>526</v>
      </c>
      <c r="L39" s="431"/>
      <c r="M39" s="364" t="s">
        <v>282</v>
      </c>
    </row>
    <row r="40" spans="1:16" s="338" customFormat="1" ht="15" customHeight="1" x14ac:dyDescent="0.35">
      <c r="A40" s="361" t="s">
        <v>527</v>
      </c>
      <c r="B40" s="362"/>
      <c r="C40" s="450"/>
      <c r="D40" s="361" t="s">
        <v>528</v>
      </c>
      <c r="E40" s="362"/>
      <c r="G40" s="519"/>
      <c r="I40" s="519" t="s">
        <v>529</v>
      </c>
      <c r="L40" s="431"/>
      <c r="M40" s="364" t="s">
        <v>282</v>
      </c>
    </row>
    <row r="41" spans="1:16" s="338" customFormat="1" ht="15" customHeight="1" x14ac:dyDescent="0.35">
      <c r="A41" s="361" t="s">
        <v>530</v>
      </c>
      <c r="B41" s="362"/>
      <c r="C41" s="450"/>
      <c r="D41" s="361" t="s">
        <v>531</v>
      </c>
      <c r="E41" s="362"/>
      <c r="G41" s="519"/>
      <c r="I41" s="519" t="s">
        <v>532</v>
      </c>
      <c r="L41" s="431"/>
      <c r="M41" s="361" t="s">
        <v>282</v>
      </c>
    </row>
    <row r="42" spans="1:16" s="338" customFormat="1" ht="15" customHeight="1" x14ac:dyDescent="0.35">
      <c r="A42" s="519" t="s">
        <v>533</v>
      </c>
      <c r="B42" s="362"/>
      <c r="C42" s="450"/>
      <c r="D42" s="362"/>
      <c r="E42" s="519"/>
      <c r="I42" s="519" t="s">
        <v>534</v>
      </c>
      <c r="L42" s="431"/>
      <c r="M42" s="361" t="s">
        <v>282</v>
      </c>
    </row>
    <row r="43" spans="1:16" s="338" customFormat="1" ht="15" customHeight="1" x14ac:dyDescent="0.35">
      <c r="A43" s="519"/>
      <c r="B43" s="519"/>
      <c r="D43" s="364"/>
      <c r="E43" s="365"/>
      <c r="F43" s="366"/>
      <c r="G43" s="366"/>
      <c r="H43" s="366"/>
      <c r="I43" s="366"/>
      <c r="J43" s="366"/>
    </row>
    <row r="44" spans="1:16" s="338" customFormat="1" ht="15" customHeight="1" x14ac:dyDescent="0.35">
      <c r="A44" s="519"/>
      <c r="B44" s="519"/>
      <c r="C44" s="365"/>
      <c r="D44" s="364"/>
      <c r="E44" s="365"/>
      <c r="F44" s="366"/>
      <c r="G44" s="366"/>
      <c r="H44" s="366"/>
      <c r="I44" s="366"/>
      <c r="J44" s="366"/>
    </row>
    <row r="45" spans="1:16" s="338" customFormat="1" ht="22.5" customHeight="1" x14ac:dyDescent="0.35">
      <c r="A45" s="706" t="s">
        <v>535</v>
      </c>
      <c r="B45" s="706"/>
      <c r="C45" s="706"/>
      <c r="D45" s="706"/>
      <c r="E45" s="706"/>
      <c r="F45" s="706"/>
      <c r="G45" s="706"/>
      <c r="H45" s="706"/>
      <c r="I45" s="706"/>
      <c r="J45" s="706"/>
    </row>
    <row r="46" spans="1:16" s="338" customFormat="1" ht="15" customHeight="1" x14ac:dyDescent="0.35">
      <c r="A46" s="710" t="s">
        <v>536</v>
      </c>
      <c r="B46" s="710"/>
      <c r="C46" s="710"/>
      <c r="D46" s="710"/>
      <c r="E46" s="710"/>
      <c r="F46" s="710"/>
      <c r="G46" s="710"/>
      <c r="H46" s="710"/>
      <c r="I46" s="710"/>
      <c r="J46" s="710"/>
    </row>
    <row r="47" spans="1:16" s="338" customFormat="1" ht="15" customHeight="1" x14ac:dyDescent="0.35">
      <c r="A47" s="725"/>
      <c r="B47" s="725"/>
      <c r="C47" s="725"/>
      <c r="D47" s="725"/>
      <c r="E47" s="534" t="s">
        <v>537</v>
      </c>
    </row>
    <row r="48" spans="1:16" s="338" customFormat="1" ht="15" customHeight="1" x14ac:dyDescent="0.35">
      <c r="A48" s="535" t="s">
        <v>538</v>
      </c>
      <c r="B48" s="535"/>
      <c r="C48" s="726"/>
      <c r="D48" s="726"/>
      <c r="E48" s="536" t="s">
        <v>539</v>
      </c>
    </row>
    <row r="49" spans="1:13" s="338" customFormat="1" ht="15" customHeight="1" x14ac:dyDescent="0.35">
      <c r="A49" s="535" t="s">
        <v>540</v>
      </c>
      <c r="B49" s="535"/>
      <c r="C49" s="726"/>
      <c r="D49" s="726"/>
      <c r="E49" s="536" t="s">
        <v>344</v>
      </c>
    </row>
    <row r="50" spans="1:13" s="338" customFormat="1" ht="15" customHeight="1" x14ac:dyDescent="0.35">
      <c r="A50" s="535" t="s">
        <v>541</v>
      </c>
      <c r="B50" s="535"/>
      <c r="C50" s="726"/>
      <c r="D50" s="726"/>
      <c r="E50" s="536" t="s">
        <v>282</v>
      </c>
    </row>
    <row r="51" spans="1:13" s="338" customFormat="1" ht="15" customHeight="1" x14ac:dyDescent="0.35">
      <c r="A51" s="535" t="s">
        <v>542</v>
      </c>
      <c r="B51" s="535"/>
      <c r="C51" s="726"/>
      <c r="D51" s="726"/>
      <c r="E51" s="536" t="s">
        <v>282</v>
      </c>
    </row>
    <row r="52" spans="1:13" s="338" customFormat="1" ht="15" customHeight="1" x14ac:dyDescent="0.35">
      <c r="A52" s="535" t="s">
        <v>543</v>
      </c>
      <c r="B52" s="535"/>
      <c r="C52" s="720"/>
      <c r="D52" s="720"/>
      <c r="E52" s="564" t="s">
        <v>764</v>
      </c>
      <c r="H52" s="367"/>
      <c r="J52" s="368"/>
    </row>
    <row r="53" spans="1:13" s="338" customFormat="1" ht="15" customHeight="1" x14ac:dyDescent="0.35">
      <c r="A53" s="537"/>
      <c r="B53" s="519"/>
      <c r="C53" s="519"/>
      <c r="D53" s="519"/>
      <c r="E53" s="519"/>
      <c r="F53" s="519"/>
      <c r="G53" s="519"/>
      <c r="H53" s="519"/>
      <c r="I53" s="519"/>
      <c r="J53" s="519"/>
    </row>
    <row r="54" spans="1:13" s="338" customFormat="1" ht="13.5" customHeight="1" x14ac:dyDescent="0.25">
      <c r="A54" s="721" t="s">
        <v>544</v>
      </c>
      <c r="B54" s="721"/>
      <c r="C54" s="721"/>
      <c r="D54" s="721"/>
      <c r="E54" s="721"/>
      <c r="F54" s="721"/>
      <c r="G54" s="721"/>
      <c r="H54" s="721"/>
      <c r="I54" s="721"/>
      <c r="J54" s="721"/>
      <c r="K54" s="721"/>
      <c r="L54" s="721"/>
      <c r="M54" s="721"/>
    </row>
    <row r="55" spans="1:13" s="338" customFormat="1" ht="15" customHeight="1" x14ac:dyDescent="0.35">
      <c r="A55" s="722"/>
      <c r="B55" s="722"/>
      <c r="C55" s="722"/>
      <c r="D55" s="722"/>
      <c r="E55" s="722"/>
      <c r="F55" s="722"/>
      <c r="G55" s="722"/>
      <c r="H55" s="722"/>
      <c r="I55" s="722"/>
      <c r="J55" s="722"/>
      <c r="K55" s="722"/>
      <c r="L55" s="722"/>
      <c r="M55" s="722"/>
    </row>
    <row r="56" spans="1:13" s="338" customFormat="1" ht="15" customHeight="1" x14ac:dyDescent="0.35">
      <c r="A56" s="722"/>
      <c r="B56" s="722"/>
      <c r="C56" s="722"/>
      <c r="D56" s="722"/>
      <c r="E56" s="722"/>
      <c r="F56" s="722"/>
      <c r="G56" s="722"/>
      <c r="H56" s="722"/>
      <c r="I56" s="722"/>
      <c r="J56" s="722"/>
      <c r="K56" s="722"/>
      <c r="L56" s="722"/>
      <c r="M56" s="722"/>
    </row>
    <row r="57" spans="1:13" s="338" customFormat="1" ht="15" customHeight="1" x14ac:dyDescent="0.35">
      <c r="A57" s="722"/>
      <c r="B57" s="722"/>
      <c r="C57" s="722"/>
      <c r="D57" s="722"/>
      <c r="E57" s="722"/>
      <c r="F57" s="722"/>
      <c r="G57" s="722"/>
      <c r="H57" s="722"/>
      <c r="I57" s="722"/>
      <c r="J57" s="722"/>
      <c r="K57" s="722"/>
      <c r="L57" s="722"/>
      <c r="M57" s="722"/>
    </row>
    <row r="58" spans="1:13" s="338" customFormat="1" ht="15" customHeight="1" x14ac:dyDescent="0.35">
      <c r="A58" s="722"/>
      <c r="B58" s="722"/>
      <c r="C58" s="722"/>
      <c r="D58" s="722"/>
      <c r="E58" s="722"/>
      <c r="F58" s="722"/>
      <c r="G58" s="722"/>
      <c r="H58" s="722"/>
      <c r="I58" s="722"/>
      <c r="J58" s="722"/>
      <c r="K58" s="722"/>
      <c r="L58" s="722"/>
      <c r="M58" s="722"/>
    </row>
    <row r="59" spans="1:13" s="338" customFormat="1" ht="15" customHeight="1" x14ac:dyDescent="0.35">
      <c r="A59" s="722"/>
      <c r="B59" s="722"/>
      <c r="C59" s="722"/>
      <c r="D59" s="722"/>
      <c r="E59" s="722"/>
      <c r="F59" s="722"/>
      <c r="G59" s="722"/>
      <c r="H59" s="722"/>
      <c r="I59" s="722"/>
      <c r="J59" s="722"/>
      <c r="K59" s="722"/>
      <c r="L59" s="722"/>
      <c r="M59" s="722"/>
    </row>
    <row r="60" spans="1:13" s="338" customFormat="1" ht="15" customHeight="1" x14ac:dyDescent="0.35">
      <c r="A60" s="722"/>
      <c r="B60" s="722"/>
      <c r="C60" s="722"/>
      <c r="D60" s="722"/>
      <c r="E60" s="722"/>
      <c r="F60" s="722"/>
      <c r="G60" s="722"/>
      <c r="H60" s="722"/>
      <c r="I60" s="722"/>
      <c r="J60" s="722"/>
      <c r="K60" s="722"/>
      <c r="L60" s="722"/>
      <c r="M60" s="722"/>
    </row>
    <row r="61" spans="1:13" s="338" customFormat="1" ht="15" customHeight="1" x14ac:dyDescent="0.35">
      <c r="A61" s="722"/>
      <c r="B61" s="722"/>
      <c r="C61" s="722"/>
      <c r="D61" s="722"/>
      <c r="E61" s="722"/>
      <c r="F61" s="722"/>
      <c r="G61" s="722"/>
      <c r="H61" s="722"/>
      <c r="I61" s="722"/>
      <c r="J61" s="722"/>
      <c r="K61" s="722"/>
      <c r="L61" s="722"/>
      <c r="M61" s="722"/>
    </row>
    <row r="62" spans="1:13" s="338" customFormat="1" ht="15" customHeight="1" x14ac:dyDescent="0.35">
      <c r="A62" s="722"/>
      <c r="B62" s="722"/>
      <c r="C62" s="722"/>
      <c r="D62" s="722"/>
      <c r="E62" s="722"/>
      <c r="F62" s="722"/>
      <c r="G62" s="722"/>
      <c r="H62" s="722"/>
      <c r="I62" s="722"/>
      <c r="J62" s="722"/>
      <c r="K62" s="722"/>
      <c r="L62" s="722"/>
      <c r="M62" s="722"/>
    </row>
    <row r="63" spans="1:13" s="338" customFormat="1" ht="15" customHeight="1" x14ac:dyDescent="0.35">
      <c r="A63" s="723"/>
      <c r="B63" s="724"/>
      <c r="C63" s="724"/>
      <c r="D63" s="724"/>
      <c r="E63" s="724"/>
      <c r="F63" s="724"/>
      <c r="G63" s="724"/>
      <c r="H63" s="724"/>
      <c r="I63" s="724"/>
      <c r="J63" s="724"/>
      <c r="K63" s="724"/>
      <c r="L63" s="724"/>
      <c r="M63" s="724"/>
    </row>
    <row r="64" spans="1:13" s="338" customFormat="1" ht="13.5" customHeight="1" x14ac:dyDescent="0.25">
      <c r="A64" s="721" t="s">
        <v>545</v>
      </c>
      <c r="B64" s="721"/>
      <c r="C64" s="721"/>
      <c r="D64" s="721"/>
      <c r="E64" s="721"/>
      <c r="F64" s="721"/>
      <c r="G64" s="721"/>
      <c r="H64" s="721"/>
      <c r="I64" s="721"/>
      <c r="J64" s="721"/>
      <c r="K64" s="721"/>
      <c r="L64" s="721"/>
      <c r="M64" s="721"/>
    </row>
    <row r="65" spans="1:13" s="338" customFormat="1" ht="15" customHeight="1" x14ac:dyDescent="0.35">
      <c r="A65" s="722"/>
      <c r="B65" s="722"/>
      <c r="C65" s="722"/>
      <c r="D65" s="722"/>
      <c r="E65" s="722"/>
      <c r="F65" s="722"/>
      <c r="G65" s="722"/>
      <c r="H65" s="722"/>
      <c r="I65" s="722"/>
      <c r="J65" s="722"/>
      <c r="K65" s="722"/>
      <c r="L65" s="722"/>
      <c r="M65" s="722"/>
    </row>
    <row r="66" spans="1:13" s="338" customFormat="1" ht="15" customHeight="1" x14ac:dyDescent="0.35">
      <c r="A66" s="722"/>
      <c r="B66" s="722"/>
      <c r="C66" s="722"/>
      <c r="D66" s="722"/>
      <c r="E66" s="722"/>
      <c r="F66" s="722"/>
      <c r="G66" s="722"/>
      <c r="H66" s="722"/>
      <c r="I66" s="722"/>
      <c r="J66" s="722"/>
      <c r="K66" s="722"/>
      <c r="L66" s="722"/>
      <c r="M66" s="722"/>
    </row>
    <row r="67" spans="1:13" s="338" customFormat="1" ht="15" customHeight="1" x14ac:dyDescent="0.35">
      <c r="A67" s="722"/>
      <c r="B67" s="722"/>
      <c r="C67" s="722"/>
      <c r="D67" s="722"/>
      <c r="E67" s="722"/>
      <c r="F67" s="722"/>
      <c r="G67" s="722"/>
      <c r="H67" s="722"/>
      <c r="I67" s="722"/>
      <c r="J67" s="722"/>
      <c r="K67" s="722"/>
      <c r="L67" s="722"/>
      <c r="M67" s="722"/>
    </row>
    <row r="68" spans="1:13" s="338" customFormat="1" ht="15" customHeight="1" x14ac:dyDescent="0.35">
      <c r="A68" s="722"/>
      <c r="B68" s="722"/>
      <c r="C68" s="722"/>
      <c r="D68" s="722"/>
      <c r="E68" s="722"/>
      <c r="F68" s="722"/>
      <c r="G68" s="722"/>
      <c r="H68" s="722"/>
      <c r="I68" s="722"/>
      <c r="J68" s="722"/>
      <c r="K68" s="722"/>
      <c r="L68" s="722"/>
      <c r="M68" s="722"/>
    </row>
    <row r="69" spans="1:13" s="338" customFormat="1" ht="15" customHeight="1" x14ac:dyDescent="0.35">
      <c r="A69" s="722"/>
      <c r="B69" s="722"/>
      <c r="C69" s="722"/>
      <c r="D69" s="722"/>
      <c r="E69" s="722"/>
      <c r="F69" s="722"/>
      <c r="G69" s="722"/>
      <c r="H69" s="722"/>
      <c r="I69" s="722"/>
      <c r="J69" s="722"/>
      <c r="K69" s="722"/>
      <c r="L69" s="722"/>
      <c r="M69" s="722"/>
    </row>
    <row r="70" spans="1:13" s="338" customFormat="1" ht="15" customHeight="1" x14ac:dyDescent="0.35">
      <c r="A70" s="722"/>
      <c r="B70" s="722"/>
      <c r="C70" s="722"/>
      <c r="D70" s="722"/>
      <c r="E70" s="722"/>
      <c r="F70" s="722"/>
      <c r="G70" s="722"/>
      <c r="H70" s="722"/>
      <c r="I70" s="722"/>
      <c r="J70" s="722"/>
      <c r="K70" s="722"/>
      <c r="L70" s="722"/>
      <c r="M70" s="722"/>
    </row>
    <row r="71" spans="1:13" s="338" customFormat="1" ht="15" customHeight="1" x14ac:dyDescent="0.35">
      <c r="A71" s="722"/>
      <c r="B71" s="722"/>
      <c r="C71" s="722"/>
      <c r="D71" s="722"/>
      <c r="E71" s="722"/>
      <c r="F71" s="722"/>
      <c r="G71" s="722"/>
      <c r="H71" s="722"/>
      <c r="I71" s="722"/>
      <c r="J71" s="722"/>
      <c r="K71" s="722"/>
      <c r="L71" s="722"/>
      <c r="M71" s="722"/>
    </row>
    <row r="72" spans="1:13" s="338" customFormat="1" ht="15" customHeight="1" x14ac:dyDescent="0.35">
      <c r="A72" s="722"/>
      <c r="B72" s="722"/>
      <c r="C72" s="722"/>
      <c r="D72" s="722"/>
      <c r="E72" s="722"/>
      <c r="F72" s="722"/>
      <c r="G72" s="722"/>
      <c r="H72" s="722"/>
      <c r="I72" s="722"/>
      <c r="J72" s="722"/>
      <c r="K72" s="722"/>
      <c r="L72" s="722"/>
      <c r="M72" s="722"/>
    </row>
    <row r="73" spans="1:13" s="338" customFormat="1" ht="15" customHeight="1" x14ac:dyDescent="0.35"/>
    <row r="74" spans="1:13" s="338" customFormat="1" ht="15" customHeight="1" x14ac:dyDescent="0.35">
      <c r="A74" s="535" t="s">
        <v>546</v>
      </c>
      <c r="B74" s="535"/>
      <c r="C74" s="535"/>
      <c r="D74" s="535"/>
      <c r="E74" s="726"/>
      <c r="F74" s="726"/>
      <c r="G74" s="536" t="s">
        <v>282</v>
      </c>
    </row>
    <row r="75" spans="1:13" s="338" customFormat="1" ht="15" customHeight="1" x14ac:dyDescent="0.35">
      <c r="A75" s="723"/>
      <c r="B75" s="724"/>
      <c r="C75" s="724"/>
      <c r="D75" s="724"/>
      <c r="E75" s="724"/>
      <c r="F75" s="724"/>
      <c r="G75" s="724"/>
      <c r="H75" s="724"/>
      <c r="I75" s="724"/>
      <c r="J75" s="724"/>
      <c r="K75" s="724"/>
      <c r="L75" s="724"/>
      <c r="M75" s="724"/>
    </row>
    <row r="76" spans="1:13" s="338" customFormat="1" ht="15" customHeight="1" x14ac:dyDescent="0.25">
      <c r="A76" s="721" t="s">
        <v>547</v>
      </c>
      <c r="B76" s="721"/>
      <c r="C76" s="721"/>
      <c r="D76" s="721"/>
      <c r="E76" s="721"/>
      <c r="F76" s="721"/>
      <c r="G76" s="721"/>
      <c r="H76" s="721"/>
      <c r="I76" s="721"/>
      <c r="J76" s="721"/>
      <c r="K76" s="721"/>
      <c r="L76" s="721"/>
      <c r="M76" s="721"/>
    </row>
    <row r="77" spans="1:13" s="338" customFormat="1" ht="15" customHeight="1" x14ac:dyDescent="0.35">
      <c r="A77" s="722"/>
      <c r="B77" s="722"/>
      <c r="C77" s="722"/>
      <c r="D77" s="722"/>
      <c r="E77" s="722"/>
      <c r="F77" s="722"/>
      <c r="G77" s="722"/>
      <c r="H77" s="722"/>
      <c r="I77" s="722"/>
      <c r="J77" s="722"/>
      <c r="K77" s="722"/>
      <c r="L77" s="722"/>
      <c r="M77" s="722"/>
    </row>
    <row r="78" spans="1:13" s="338" customFormat="1" ht="15" customHeight="1" x14ac:dyDescent="0.35">
      <c r="A78" s="722"/>
      <c r="B78" s="722"/>
      <c r="C78" s="722"/>
      <c r="D78" s="722"/>
      <c r="E78" s="722"/>
      <c r="F78" s="722"/>
      <c r="G78" s="722"/>
      <c r="H78" s="722"/>
      <c r="I78" s="722"/>
      <c r="J78" s="722"/>
      <c r="K78" s="722"/>
      <c r="L78" s="722"/>
      <c r="M78" s="722"/>
    </row>
    <row r="79" spans="1:13" s="338" customFormat="1" ht="15" customHeight="1" x14ac:dyDescent="0.35">
      <c r="A79" s="722"/>
      <c r="B79" s="722"/>
      <c r="C79" s="722"/>
      <c r="D79" s="722"/>
      <c r="E79" s="722"/>
      <c r="F79" s="722"/>
      <c r="G79" s="722"/>
      <c r="H79" s="722"/>
      <c r="I79" s="722"/>
      <c r="J79" s="722"/>
      <c r="K79" s="722"/>
      <c r="L79" s="722"/>
      <c r="M79" s="722"/>
    </row>
    <row r="80" spans="1:13" s="338" customFormat="1" ht="15" customHeight="1" x14ac:dyDescent="0.35">
      <c r="A80" s="722"/>
      <c r="B80" s="722"/>
      <c r="C80" s="722"/>
      <c r="D80" s="722"/>
      <c r="E80" s="722"/>
      <c r="F80" s="722"/>
      <c r="G80" s="722"/>
      <c r="H80" s="722"/>
      <c r="I80" s="722"/>
      <c r="J80" s="722"/>
      <c r="K80" s="722"/>
      <c r="L80" s="722"/>
      <c r="M80" s="722"/>
    </row>
    <row r="81" spans="1:13" s="338" customFormat="1" ht="15" customHeight="1" x14ac:dyDescent="0.35">
      <c r="A81" s="722"/>
      <c r="B81" s="722"/>
      <c r="C81" s="722"/>
      <c r="D81" s="722"/>
      <c r="E81" s="722"/>
      <c r="F81" s="722"/>
      <c r="G81" s="722"/>
      <c r="H81" s="722"/>
      <c r="I81" s="722"/>
      <c r="J81" s="722"/>
      <c r="K81" s="722"/>
      <c r="L81" s="722"/>
      <c r="M81" s="722"/>
    </row>
    <row r="82" spans="1:13" s="338" customFormat="1" ht="15" customHeight="1" x14ac:dyDescent="0.35">
      <c r="A82" s="722"/>
      <c r="B82" s="722"/>
      <c r="C82" s="722"/>
      <c r="D82" s="722"/>
      <c r="E82" s="722"/>
      <c r="F82" s="722"/>
      <c r="G82" s="722"/>
      <c r="H82" s="722"/>
      <c r="I82" s="722"/>
      <c r="J82" s="722"/>
      <c r="K82" s="722"/>
      <c r="L82" s="722"/>
      <c r="M82" s="722"/>
    </row>
    <row r="83" spans="1:13" s="338" customFormat="1" ht="15" customHeight="1" x14ac:dyDescent="0.35">
      <c r="A83" s="722"/>
      <c r="B83" s="722"/>
      <c r="C83" s="722"/>
      <c r="D83" s="722"/>
      <c r="E83" s="722"/>
      <c r="F83" s="722"/>
      <c r="G83" s="722"/>
      <c r="H83" s="722"/>
      <c r="I83" s="722"/>
      <c r="J83" s="722"/>
      <c r="K83" s="722"/>
      <c r="L83" s="722"/>
      <c r="M83" s="722"/>
    </row>
    <row r="84" spans="1:13" s="338" customFormat="1" ht="15" customHeight="1" x14ac:dyDescent="0.35">
      <c r="A84" s="722"/>
      <c r="B84" s="722"/>
      <c r="C84" s="722"/>
      <c r="D84" s="722"/>
      <c r="E84" s="722"/>
      <c r="F84" s="722"/>
      <c r="G84" s="722"/>
      <c r="H84" s="722"/>
      <c r="I84" s="722"/>
      <c r="J84" s="722"/>
      <c r="K84" s="722"/>
      <c r="L84" s="722"/>
      <c r="M84" s="722"/>
    </row>
    <row r="85" spans="1:13" s="338" customFormat="1" ht="15" customHeight="1" x14ac:dyDescent="0.35">
      <c r="A85" s="521"/>
      <c r="B85" s="522"/>
      <c r="C85" s="522"/>
      <c r="D85" s="522"/>
      <c r="E85" s="522"/>
      <c r="F85" s="522"/>
      <c r="G85" s="522"/>
      <c r="H85" s="522"/>
      <c r="I85" s="522"/>
      <c r="J85" s="522"/>
      <c r="K85" s="522"/>
      <c r="L85" s="522"/>
      <c r="M85" s="522"/>
    </row>
    <row r="86" spans="1:13" s="338" customFormat="1" ht="34.5" customHeight="1" x14ac:dyDescent="0.25">
      <c r="A86" s="721" t="s">
        <v>548</v>
      </c>
      <c r="B86" s="721"/>
      <c r="C86" s="721"/>
      <c r="D86" s="721"/>
      <c r="E86" s="721"/>
      <c r="F86" s="721"/>
      <c r="G86" s="721"/>
      <c r="H86" s="721"/>
      <c r="I86" s="721"/>
      <c r="J86" s="721"/>
      <c r="K86" s="721"/>
      <c r="L86" s="721"/>
      <c r="M86" s="721"/>
    </row>
    <row r="87" spans="1:13" s="338" customFormat="1" ht="15" customHeight="1" x14ac:dyDescent="0.35">
      <c r="A87" s="722"/>
      <c r="B87" s="722"/>
      <c r="C87" s="722"/>
      <c r="D87" s="722"/>
      <c r="E87" s="722"/>
      <c r="F87" s="722"/>
      <c r="G87" s="722"/>
      <c r="H87" s="722"/>
      <c r="I87" s="722"/>
      <c r="J87" s="722"/>
      <c r="K87" s="722"/>
      <c r="L87" s="722"/>
      <c r="M87" s="722"/>
    </row>
    <row r="88" spans="1:13" s="338" customFormat="1" ht="15" customHeight="1" x14ac:dyDescent="0.35">
      <c r="A88" s="722"/>
      <c r="B88" s="722"/>
      <c r="C88" s="722"/>
      <c r="D88" s="722"/>
      <c r="E88" s="722"/>
      <c r="F88" s="722"/>
      <c r="G88" s="722"/>
      <c r="H88" s="722"/>
      <c r="I88" s="722"/>
      <c r="J88" s="722"/>
      <c r="K88" s="722"/>
      <c r="L88" s="722"/>
      <c r="M88" s="722"/>
    </row>
    <row r="89" spans="1:13" s="338" customFormat="1" ht="15" customHeight="1" x14ac:dyDescent="0.35">
      <c r="A89" s="722"/>
      <c r="B89" s="722"/>
      <c r="C89" s="722"/>
      <c r="D89" s="722"/>
      <c r="E89" s="722"/>
      <c r="F89" s="722"/>
      <c r="G89" s="722"/>
      <c r="H89" s="722"/>
      <c r="I89" s="722"/>
      <c r="J89" s="722"/>
      <c r="K89" s="722"/>
      <c r="L89" s="722"/>
      <c r="M89" s="722"/>
    </row>
    <row r="90" spans="1:13" s="338" customFormat="1" ht="15" customHeight="1" x14ac:dyDescent="0.35">
      <c r="A90" s="722"/>
      <c r="B90" s="722"/>
      <c r="C90" s="722"/>
      <c r="D90" s="722"/>
      <c r="E90" s="722"/>
      <c r="F90" s="722"/>
      <c r="G90" s="722"/>
      <c r="H90" s="722"/>
      <c r="I90" s="722"/>
      <c r="J90" s="722"/>
      <c r="K90" s="722"/>
      <c r="L90" s="722"/>
      <c r="M90" s="722"/>
    </row>
    <row r="91" spans="1:13" s="338" customFormat="1" ht="15" customHeight="1" x14ac:dyDescent="0.35">
      <c r="A91" s="722"/>
      <c r="B91" s="722"/>
      <c r="C91" s="722"/>
      <c r="D91" s="722"/>
      <c r="E91" s="722"/>
      <c r="F91" s="722"/>
      <c r="G91" s="722"/>
      <c r="H91" s="722"/>
      <c r="I91" s="722"/>
      <c r="J91" s="722"/>
      <c r="K91" s="722"/>
      <c r="L91" s="722"/>
      <c r="M91" s="722"/>
    </row>
    <row r="92" spans="1:13" s="338" customFormat="1" ht="15" customHeight="1" x14ac:dyDescent="0.35">
      <c r="A92" s="722"/>
      <c r="B92" s="722"/>
      <c r="C92" s="722"/>
      <c r="D92" s="722"/>
      <c r="E92" s="722"/>
      <c r="F92" s="722"/>
      <c r="G92" s="722"/>
      <c r="H92" s="722"/>
      <c r="I92" s="722"/>
      <c r="J92" s="722"/>
      <c r="K92" s="722"/>
      <c r="L92" s="722"/>
      <c r="M92" s="722"/>
    </row>
    <row r="93" spans="1:13" s="338" customFormat="1" ht="15" customHeight="1" x14ac:dyDescent="0.35">
      <c r="A93" s="722"/>
      <c r="B93" s="722"/>
      <c r="C93" s="722"/>
      <c r="D93" s="722"/>
      <c r="E93" s="722"/>
      <c r="F93" s="722"/>
      <c r="G93" s="722"/>
      <c r="H93" s="722"/>
      <c r="I93" s="722"/>
      <c r="J93" s="722"/>
      <c r="K93" s="722"/>
      <c r="L93" s="722"/>
      <c r="M93" s="722"/>
    </row>
    <row r="94" spans="1:13" s="338" customFormat="1" ht="15" customHeight="1" x14ac:dyDescent="0.35">
      <c r="A94" s="722"/>
      <c r="B94" s="722"/>
      <c r="C94" s="722"/>
      <c r="D94" s="722"/>
      <c r="E94" s="722"/>
      <c r="F94" s="722"/>
      <c r="G94" s="722"/>
      <c r="H94" s="722"/>
      <c r="I94" s="722"/>
      <c r="J94" s="722"/>
      <c r="K94" s="722"/>
      <c r="L94" s="722"/>
      <c r="M94" s="722"/>
    </row>
    <row r="95" spans="1:13" s="338" customFormat="1" ht="15" customHeight="1" x14ac:dyDescent="0.35">
      <c r="C95" s="369"/>
      <c r="D95" s="522"/>
      <c r="E95" s="522"/>
      <c r="F95" s="522"/>
      <c r="G95" s="522"/>
      <c r="H95" s="522"/>
      <c r="I95" s="522"/>
      <c r="J95" s="522"/>
      <c r="K95" s="522"/>
      <c r="L95" s="522"/>
      <c r="M95" s="522"/>
    </row>
    <row r="96" spans="1:13" s="338" customFormat="1" ht="15" customHeight="1" x14ac:dyDescent="0.35">
      <c r="A96" s="728" t="s">
        <v>549</v>
      </c>
      <c r="B96" s="728"/>
      <c r="C96" s="432"/>
      <c r="D96" s="536" t="s">
        <v>368</v>
      </c>
    </row>
    <row r="97" spans="1:17" s="338" customFormat="1" ht="15" customHeight="1" x14ac:dyDescent="0.35">
      <c r="A97" s="521"/>
      <c r="B97" s="522"/>
      <c r="C97" s="522"/>
      <c r="D97" s="522"/>
      <c r="E97" s="522"/>
      <c r="F97" s="522"/>
      <c r="G97" s="522"/>
      <c r="H97" s="522"/>
      <c r="I97" s="522"/>
      <c r="J97" s="522"/>
      <c r="K97" s="522"/>
      <c r="L97" s="522"/>
      <c r="M97" s="522"/>
    </row>
    <row r="98" spans="1:17" s="338" customFormat="1" ht="17.5" customHeight="1" x14ac:dyDescent="0.25">
      <c r="A98" s="721" t="s">
        <v>550</v>
      </c>
      <c r="B98" s="721"/>
      <c r="C98" s="721"/>
      <c r="D98" s="721"/>
      <c r="E98" s="721"/>
      <c r="F98" s="721"/>
      <c r="G98" s="721"/>
      <c r="H98" s="721"/>
      <c r="I98" s="721"/>
      <c r="J98" s="721"/>
      <c r="K98" s="721"/>
      <c r="L98" s="721"/>
      <c r="M98" s="721"/>
      <c r="Q98" s="447"/>
    </row>
    <row r="99" spans="1:17" s="338" customFormat="1" ht="15" customHeight="1" x14ac:dyDescent="0.35">
      <c r="A99" s="722"/>
      <c r="B99" s="722"/>
      <c r="C99" s="722"/>
      <c r="D99" s="722"/>
      <c r="E99" s="722"/>
      <c r="F99" s="722"/>
      <c r="G99" s="722"/>
      <c r="H99" s="722"/>
      <c r="I99" s="722"/>
      <c r="J99" s="722"/>
      <c r="K99" s="722"/>
      <c r="L99" s="722"/>
      <c r="M99" s="722"/>
    </row>
    <row r="100" spans="1:17" s="338" customFormat="1" ht="15" customHeight="1" x14ac:dyDescent="0.35">
      <c r="A100" s="722"/>
      <c r="B100" s="722"/>
      <c r="C100" s="722"/>
      <c r="D100" s="722"/>
      <c r="E100" s="722"/>
      <c r="F100" s="722"/>
      <c r="G100" s="722"/>
      <c r="H100" s="722"/>
      <c r="I100" s="722"/>
      <c r="J100" s="722"/>
      <c r="K100" s="722"/>
      <c r="L100" s="722"/>
      <c r="M100" s="722"/>
    </row>
    <row r="101" spans="1:17" s="338" customFormat="1" ht="15" customHeight="1" x14ac:dyDescent="0.35">
      <c r="A101" s="722"/>
      <c r="B101" s="722"/>
      <c r="C101" s="722"/>
      <c r="D101" s="722"/>
      <c r="E101" s="722"/>
      <c r="F101" s="722"/>
      <c r="G101" s="722"/>
      <c r="H101" s="722"/>
      <c r="I101" s="722"/>
      <c r="J101" s="722"/>
      <c r="K101" s="722"/>
      <c r="L101" s="722"/>
      <c r="M101" s="722"/>
    </row>
    <row r="102" spans="1:17" s="338" customFormat="1" ht="15" customHeight="1" x14ac:dyDescent="0.35">
      <c r="A102" s="722"/>
      <c r="B102" s="722"/>
      <c r="C102" s="722"/>
      <c r="D102" s="722"/>
      <c r="E102" s="722"/>
      <c r="F102" s="722"/>
      <c r="G102" s="722"/>
      <c r="H102" s="722"/>
      <c r="I102" s="722"/>
      <c r="J102" s="722"/>
      <c r="K102" s="722"/>
      <c r="L102" s="722"/>
      <c r="M102" s="722"/>
    </row>
    <row r="103" spans="1:17" s="338" customFormat="1" ht="15" customHeight="1" x14ac:dyDescent="0.35">
      <c r="A103" s="722"/>
      <c r="B103" s="722"/>
      <c r="C103" s="722"/>
      <c r="D103" s="722"/>
      <c r="E103" s="722"/>
      <c r="F103" s="722"/>
      <c r="G103" s="722"/>
      <c r="H103" s="722"/>
      <c r="I103" s="722"/>
      <c r="J103" s="722"/>
      <c r="K103" s="722"/>
      <c r="L103" s="722"/>
      <c r="M103" s="722"/>
    </row>
    <row r="104" spans="1:17" s="338" customFormat="1" ht="15" customHeight="1" x14ac:dyDescent="0.35">
      <c r="A104" s="722"/>
      <c r="B104" s="722"/>
      <c r="C104" s="722"/>
      <c r="D104" s="722"/>
      <c r="E104" s="722"/>
      <c r="F104" s="722"/>
      <c r="G104" s="722"/>
      <c r="H104" s="722"/>
      <c r="I104" s="722"/>
      <c r="J104" s="722"/>
      <c r="K104" s="722"/>
      <c r="L104" s="722"/>
      <c r="M104" s="722"/>
    </row>
    <row r="105" spans="1:17" s="338" customFormat="1" ht="15" customHeight="1" x14ac:dyDescent="0.35">
      <c r="A105" s="722"/>
      <c r="B105" s="722"/>
      <c r="C105" s="722"/>
      <c r="D105" s="722"/>
      <c r="E105" s="722"/>
      <c r="F105" s="722"/>
      <c r="G105" s="722"/>
      <c r="H105" s="722"/>
      <c r="I105" s="722"/>
      <c r="J105" s="722"/>
      <c r="K105" s="722"/>
      <c r="L105" s="722"/>
      <c r="M105" s="722"/>
    </row>
    <row r="106" spans="1:17" s="338" customFormat="1" ht="15" customHeight="1" x14ac:dyDescent="0.35">
      <c r="A106" s="722"/>
      <c r="B106" s="722"/>
      <c r="C106" s="722"/>
      <c r="D106" s="722"/>
      <c r="E106" s="722"/>
      <c r="F106" s="722"/>
      <c r="G106" s="722"/>
      <c r="H106" s="722"/>
      <c r="I106" s="722"/>
      <c r="J106" s="722"/>
      <c r="K106" s="722"/>
      <c r="L106" s="722"/>
      <c r="M106" s="722"/>
    </row>
    <row r="107" spans="1:17" x14ac:dyDescent="0.3">
      <c r="A107" s="349"/>
      <c r="B107" s="350"/>
      <c r="C107" s="350"/>
      <c r="D107" s="350"/>
      <c r="E107" s="350"/>
      <c r="F107" s="350"/>
      <c r="G107" s="350"/>
      <c r="H107" s="350"/>
      <c r="I107" s="350"/>
      <c r="J107" s="351"/>
      <c r="K107" s="351"/>
      <c r="L107" s="352"/>
      <c r="M107" s="350"/>
    </row>
    <row r="108" spans="1:17" ht="15.5" x14ac:dyDescent="0.3">
      <c r="A108" s="729" t="s">
        <v>551</v>
      </c>
      <c r="B108" s="729"/>
      <c r="C108" s="729"/>
      <c r="D108" s="729"/>
      <c r="E108" s="729"/>
      <c r="F108" s="729"/>
      <c r="G108" s="729"/>
      <c r="H108" s="729"/>
      <c r="I108" s="729"/>
      <c r="J108" s="729"/>
      <c r="K108" s="729"/>
      <c r="L108" s="729"/>
      <c r="M108" s="729"/>
    </row>
    <row r="109" spans="1:17" ht="20.149999999999999" customHeight="1" x14ac:dyDescent="0.3">
      <c r="A109" s="721" t="s">
        <v>552</v>
      </c>
      <c r="B109" s="721"/>
      <c r="C109" s="721"/>
      <c r="D109" s="721"/>
      <c r="E109" s="721"/>
      <c r="F109" s="721"/>
      <c r="G109" s="721"/>
      <c r="H109" s="721"/>
      <c r="I109" s="721"/>
      <c r="J109" s="721"/>
      <c r="K109" s="721"/>
      <c r="L109" s="721"/>
      <c r="M109" s="721"/>
    </row>
    <row r="110" spans="1:17" ht="20.149999999999999" customHeight="1" x14ac:dyDescent="0.3">
      <c r="B110" s="370"/>
      <c r="C110" s="370"/>
      <c r="D110" s="370"/>
      <c r="E110" s="370"/>
      <c r="F110" s="370"/>
      <c r="G110" s="370"/>
      <c r="H110" s="370"/>
      <c r="I110" s="370"/>
      <c r="J110" s="370"/>
      <c r="K110" s="370"/>
      <c r="L110" s="370"/>
      <c r="M110" s="370"/>
    </row>
    <row r="111" spans="1:17" s="338" customFormat="1" ht="15" customHeight="1" x14ac:dyDescent="0.35">
      <c r="A111" s="539" t="s">
        <v>553</v>
      </c>
      <c r="B111" s="433"/>
      <c r="C111" s="434"/>
      <c r="D111" s="371"/>
      <c r="E111" s="371"/>
      <c r="F111" s="371"/>
      <c r="G111" s="371"/>
    </row>
    <row r="112" spans="1:17" s="338" customFormat="1" ht="15" customHeight="1" x14ac:dyDescent="0.35">
      <c r="A112" s="371"/>
      <c r="B112" s="371"/>
      <c r="C112" s="371"/>
      <c r="D112" s="371"/>
      <c r="E112" s="371"/>
      <c r="F112" s="371"/>
      <c r="G112" s="371"/>
      <c r="H112" s="371"/>
      <c r="I112" s="372"/>
      <c r="J112" s="448"/>
    </row>
    <row r="113" spans="1:13" x14ac:dyDescent="0.3">
      <c r="A113" s="722"/>
      <c r="B113" s="722"/>
      <c r="C113" s="722"/>
      <c r="D113" s="722"/>
      <c r="E113" s="722"/>
      <c r="F113" s="722"/>
      <c r="G113" s="722"/>
      <c r="H113" s="722"/>
      <c r="I113" s="722"/>
      <c r="J113" s="722"/>
      <c r="K113" s="722"/>
      <c r="L113" s="722"/>
      <c r="M113" s="722"/>
    </row>
    <row r="114" spans="1:13" x14ac:dyDescent="0.3">
      <c r="A114" s="722"/>
      <c r="B114" s="722"/>
      <c r="C114" s="722"/>
      <c r="D114" s="722"/>
      <c r="E114" s="722"/>
      <c r="F114" s="722"/>
      <c r="G114" s="722"/>
      <c r="H114" s="722"/>
      <c r="I114" s="722"/>
      <c r="J114" s="722"/>
      <c r="K114" s="722"/>
      <c r="L114" s="722"/>
      <c r="M114" s="722"/>
    </row>
    <row r="115" spans="1:13" x14ac:dyDescent="0.3">
      <c r="A115" s="722"/>
      <c r="B115" s="722"/>
      <c r="C115" s="722"/>
      <c r="D115" s="722"/>
      <c r="E115" s="722"/>
      <c r="F115" s="722"/>
      <c r="G115" s="722"/>
      <c r="H115" s="722"/>
      <c r="I115" s="722"/>
      <c r="J115" s="722"/>
      <c r="K115" s="722"/>
      <c r="L115" s="722"/>
      <c r="M115" s="722"/>
    </row>
    <row r="116" spans="1:13" x14ac:dyDescent="0.3">
      <c r="A116" s="722"/>
      <c r="B116" s="722"/>
      <c r="C116" s="722"/>
      <c r="D116" s="722"/>
      <c r="E116" s="722"/>
      <c r="F116" s="722"/>
      <c r="G116" s="722"/>
      <c r="H116" s="722"/>
      <c r="I116" s="722"/>
      <c r="J116" s="722"/>
      <c r="K116" s="722"/>
      <c r="L116" s="722"/>
      <c r="M116" s="722"/>
    </row>
    <row r="117" spans="1:13" x14ac:dyDescent="0.3">
      <c r="A117" s="722"/>
      <c r="B117" s="722"/>
      <c r="C117" s="722"/>
      <c r="D117" s="722"/>
      <c r="E117" s="722"/>
      <c r="F117" s="722"/>
      <c r="G117" s="722"/>
      <c r="H117" s="722"/>
      <c r="I117" s="722"/>
      <c r="J117" s="722"/>
      <c r="K117" s="722"/>
      <c r="L117" s="722"/>
      <c r="M117" s="722"/>
    </row>
    <row r="118" spans="1:13" x14ac:dyDescent="0.3">
      <c r="A118" s="722"/>
      <c r="B118" s="722"/>
      <c r="C118" s="722"/>
      <c r="D118" s="722"/>
      <c r="E118" s="722"/>
      <c r="F118" s="722"/>
      <c r="G118" s="722"/>
      <c r="H118" s="722"/>
      <c r="I118" s="722"/>
      <c r="J118" s="722"/>
      <c r="K118" s="722"/>
      <c r="L118" s="722"/>
      <c r="M118" s="722"/>
    </row>
    <row r="119" spans="1:13" x14ac:dyDescent="0.3">
      <c r="A119" s="722"/>
      <c r="B119" s="722"/>
      <c r="C119" s="722"/>
      <c r="D119" s="722"/>
      <c r="E119" s="722"/>
      <c r="F119" s="722"/>
      <c r="G119" s="722"/>
      <c r="H119" s="722"/>
      <c r="I119" s="722"/>
      <c r="J119" s="722"/>
      <c r="K119" s="722"/>
      <c r="L119" s="722"/>
      <c r="M119" s="722"/>
    </row>
    <row r="120" spans="1:13" x14ac:dyDescent="0.3">
      <c r="A120" s="722"/>
      <c r="B120" s="722"/>
      <c r="C120" s="722"/>
      <c r="D120" s="722"/>
      <c r="E120" s="722"/>
      <c r="F120" s="722"/>
      <c r="G120" s="722"/>
      <c r="H120" s="722"/>
      <c r="I120" s="722"/>
      <c r="J120" s="722"/>
      <c r="K120" s="722"/>
      <c r="L120" s="722"/>
      <c r="M120" s="722"/>
    </row>
    <row r="121" spans="1:13" x14ac:dyDescent="0.3">
      <c r="A121" s="373"/>
      <c r="B121" s="373"/>
      <c r="C121" s="373"/>
      <c r="D121" s="373"/>
      <c r="E121" s="373"/>
      <c r="F121" s="373"/>
      <c r="G121" s="373"/>
      <c r="H121" s="373"/>
      <c r="I121" s="373"/>
      <c r="J121" s="373"/>
      <c r="K121" s="373"/>
      <c r="L121" s="373"/>
      <c r="M121" s="373"/>
    </row>
    <row r="122" spans="1:13" ht="15.5" x14ac:dyDescent="0.3">
      <c r="A122" s="729" t="s">
        <v>554</v>
      </c>
      <c r="B122" s="729"/>
      <c r="C122" s="729"/>
      <c r="D122" s="729"/>
      <c r="E122" s="729"/>
      <c r="F122" s="729"/>
      <c r="G122" s="729"/>
      <c r="H122" s="729"/>
      <c r="I122" s="729"/>
      <c r="J122" s="729"/>
      <c r="K122" s="729"/>
      <c r="L122" s="729"/>
      <c r="M122" s="729"/>
    </row>
    <row r="123" spans="1:13" x14ac:dyDescent="0.3">
      <c r="A123" s="721" t="s">
        <v>641</v>
      </c>
      <c r="B123" s="721"/>
      <c r="C123" s="721"/>
      <c r="D123" s="721"/>
      <c r="E123" s="721"/>
      <c r="F123" s="721"/>
      <c r="G123" s="721"/>
      <c r="H123" s="721"/>
      <c r="I123" s="721"/>
      <c r="J123" s="721"/>
      <c r="K123" s="721"/>
      <c r="L123" s="721"/>
      <c r="M123" s="721"/>
    </row>
    <row r="124" spans="1:13" ht="74.5" customHeight="1" x14ac:dyDescent="0.3">
      <c r="A124" s="520" t="s">
        <v>55</v>
      </c>
      <c r="B124" s="520" t="s">
        <v>555</v>
      </c>
      <c r="C124" s="731" t="s">
        <v>556</v>
      </c>
      <c r="D124" s="731"/>
      <c r="E124" s="731" t="s">
        <v>557</v>
      </c>
      <c r="F124" s="731"/>
      <c r="G124" s="731" t="s">
        <v>558</v>
      </c>
      <c r="H124" s="731"/>
      <c r="I124" s="731"/>
      <c r="J124" s="520" t="s">
        <v>559</v>
      </c>
      <c r="K124" s="520" t="s">
        <v>640</v>
      </c>
      <c r="L124" s="520" t="s">
        <v>560</v>
      </c>
      <c r="M124" s="520" t="s">
        <v>561</v>
      </c>
    </row>
    <row r="125" spans="1:13" ht="40" customHeight="1" x14ac:dyDescent="0.3">
      <c r="A125" s="449">
        <v>1</v>
      </c>
      <c r="B125" s="518"/>
      <c r="C125" s="730"/>
      <c r="D125" s="730"/>
      <c r="E125" s="730"/>
      <c r="F125" s="730"/>
      <c r="G125" s="732"/>
      <c r="H125" s="732"/>
      <c r="I125" s="732"/>
      <c r="J125" s="437"/>
      <c r="K125" s="437"/>
      <c r="L125" s="438"/>
      <c r="M125" s="437"/>
    </row>
    <row r="126" spans="1:13" ht="40" customHeight="1" x14ac:dyDescent="0.3">
      <c r="A126" s="449">
        <v>2</v>
      </c>
      <c r="B126" s="518"/>
      <c r="C126" s="730"/>
      <c r="D126" s="730"/>
      <c r="E126" s="730"/>
      <c r="F126" s="730"/>
      <c r="G126" s="732"/>
      <c r="H126" s="732"/>
      <c r="I126" s="732"/>
      <c r="J126" s="437"/>
      <c r="K126" s="437"/>
      <c r="L126" s="438"/>
      <c r="M126" s="437"/>
    </row>
    <row r="127" spans="1:13" ht="40" customHeight="1" x14ac:dyDescent="0.3">
      <c r="A127" s="449">
        <v>3</v>
      </c>
      <c r="B127" s="518"/>
      <c r="C127" s="730"/>
      <c r="D127" s="730"/>
      <c r="E127" s="730"/>
      <c r="F127" s="730"/>
      <c r="G127" s="732"/>
      <c r="H127" s="732"/>
      <c r="I127" s="732"/>
      <c r="J127" s="437"/>
      <c r="K127" s="437"/>
      <c r="L127" s="438"/>
      <c r="M127" s="437"/>
    </row>
    <row r="128" spans="1:13" ht="40" customHeight="1" x14ac:dyDescent="0.3">
      <c r="A128" s="449">
        <v>4</v>
      </c>
      <c r="B128" s="518"/>
      <c r="C128" s="730"/>
      <c r="D128" s="730"/>
      <c r="E128" s="730"/>
      <c r="F128" s="730"/>
      <c r="G128" s="732"/>
      <c r="H128" s="732"/>
      <c r="I128" s="732"/>
      <c r="J128" s="437"/>
      <c r="K128" s="437"/>
      <c r="L128" s="438"/>
      <c r="M128" s="437"/>
    </row>
    <row r="129" spans="1:13" ht="40" customHeight="1" x14ac:dyDescent="0.3">
      <c r="A129" s="449">
        <v>5</v>
      </c>
      <c r="B129" s="518"/>
      <c r="C129" s="730"/>
      <c r="D129" s="730"/>
      <c r="E129" s="730"/>
      <c r="F129" s="730"/>
      <c r="G129" s="732"/>
      <c r="H129" s="732"/>
      <c r="I129" s="732"/>
      <c r="J129" s="437"/>
      <c r="K129" s="437"/>
      <c r="L129" s="438"/>
      <c r="M129" s="437"/>
    </row>
    <row r="130" spans="1:13" ht="40" customHeight="1" x14ac:dyDescent="0.3">
      <c r="A130" s="374"/>
      <c r="B130" s="375"/>
      <c r="C130" s="375"/>
      <c r="D130" s="375"/>
      <c r="E130" s="375"/>
      <c r="F130" s="375"/>
      <c r="G130" s="375"/>
      <c r="H130" s="375"/>
      <c r="I130" s="376" t="s">
        <v>51</v>
      </c>
      <c r="J130" s="439">
        <f>SUM(J125:J129)</f>
        <v>0</v>
      </c>
      <c r="K130" s="376" t="s">
        <v>51</v>
      </c>
      <c r="L130" s="439">
        <f>SUM(L125:L129)</f>
        <v>0</v>
      </c>
      <c r="M130" s="375"/>
    </row>
    <row r="131" spans="1:13" x14ac:dyDescent="0.3">
      <c r="A131" s="374"/>
      <c r="B131" s="375"/>
      <c r="C131" s="375"/>
      <c r="D131" s="375"/>
      <c r="E131" s="375"/>
      <c r="F131" s="375"/>
      <c r="G131" s="375"/>
      <c r="H131" s="375"/>
      <c r="I131" s="376"/>
      <c r="J131" s="375"/>
      <c r="K131" s="376"/>
      <c r="L131" s="375"/>
      <c r="M131" s="375"/>
    </row>
    <row r="132" spans="1:13" s="338" customFormat="1" ht="15" customHeight="1" x14ac:dyDescent="0.35">
      <c r="A132" s="535" t="s">
        <v>639</v>
      </c>
      <c r="B132" s="535"/>
      <c r="C132" s="535"/>
      <c r="D132" s="746"/>
      <c r="E132" s="746"/>
      <c r="F132" s="536" t="s">
        <v>562</v>
      </c>
    </row>
    <row r="133" spans="1:13" s="338" customFormat="1" ht="17.5" customHeight="1" x14ac:dyDescent="0.35">
      <c r="A133" s="377"/>
      <c r="B133" s="378"/>
      <c r="C133" s="378"/>
      <c r="D133" s="378"/>
      <c r="E133" s="378"/>
      <c r="F133" s="378"/>
      <c r="G133" s="378"/>
      <c r="H133" s="378"/>
      <c r="I133" s="378"/>
      <c r="J133" s="378"/>
    </row>
    <row r="134" spans="1:13" x14ac:dyDescent="0.3">
      <c r="A134" s="538"/>
      <c r="B134" s="538"/>
      <c r="C134" s="538"/>
      <c r="D134" s="538"/>
      <c r="E134" s="538"/>
      <c r="F134" s="538"/>
      <c r="G134" s="538"/>
      <c r="H134" s="538"/>
      <c r="I134" s="538"/>
      <c r="J134" s="379"/>
      <c r="K134" s="379"/>
      <c r="L134" s="379"/>
      <c r="M134" s="379"/>
    </row>
    <row r="135" spans="1:13" ht="15.5" x14ac:dyDescent="0.3">
      <c r="A135" s="729" t="s">
        <v>563</v>
      </c>
      <c r="B135" s="729"/>
      <c r="C135" s="729"/>
      <c r="D135" s="729"/>
      <c r="E135" s="729"/>
      <c r="F135" s="729"/>
      <c r="G135" s="729"/>
      <c r="H135" s="729"/>
      <c r="I135" s="729"/>
      <c r="J135" s="729"/>
      <c r="K135" s="729"/>
      <c r="L135" s="729"/>
      <c r="M135" s="729"/>
    </row>
    <row r="136" spans="1:13" x14ac:dyDescent="0.3">
      <c r="A136" s="747" t="s">
        <v>564</v>
      </c>
      <c r="B136" s="747"/>
      <c r="C136" s="747"/>
      <c r="D136" s="747"/>
      <c r="E136" s="747"/>
      <c r="F136" s="747"/>
      <c r="G136" s="747"/>
      <c r="H136" s="747"/>
      <c r="I136" s="747"/>
      <c r="J136" s="747"/>
      <c r="K136" s="747"/>
      <c r="L136" s="747"/>
      <c r="M136" s="747"/>
    </row>
    <row r="137" spans="1:13" x14ac:dyDescent="0.3">
      <c r="A137" s="734"/>
      <c r="B137" s="734"/>
      <c r="C137" s="734"/>
      <c r="D137" s="734"/>
      <c r="E137" s="734"/>
      <c r="F137" s="734"/>
      <c r="G137" s="734"/>
      <c r="H137" s="734"/>
      <c r="I137" s="734"/>
      <c r="J137" s="734"/>
      <c r="K137" s="734"/>
      <c r="L137" s="734"/>
      <c r="M137" s="734"/>
    </row>
    <row r="138" spans="1:13" x14ac:dyDescent="0.3">
      <c r="A138" s="734"/>
      <c r="B138" s="734"/>
      <c r="C138" s="734"/>
      <c r="D138" s="734"/>
      <c r="E138" s="734"/>
      <c r="F138" s="734"/>
      <c r="G138" s="734"/>
      <c r="H138" s="734"/>
      <c r="I138" s="734"/>
      <c r="J138" s="734"/>
      <c r="K138" s="734"/>
      <c r="L138" s="734"/>
      <c r="M138" s="734"/>
    </row>
    <row r="139" spans="1:13" x14ac:dyDescent="0.3">
      <c r="A139" s="734"/>
      <c r="B139" s="734"/>
      <c r="C139" s="734"/>
      <c r="D139" s="734"/>
      <c r="E139" s="734"/>
      <c r="F139" s="734"/>
      <c r="G139" s="734"/>
      <c r="H139" s="734"/>
      <c r="I139" s="734"/>
      <c r="J139" s="734"/>
      <c r="K139" s="734"/>
      <c r="L139" s="734"/>
      <c r="M139" s="734"/>
    </row>
    <row r="140" spans="1:13" x14ac:dyDescent="0.3">
      <c r="A140" s="734"/>
      <c r="B140" s="734"/>
      <c r="C140" s="734"/>
      <c r="D140" s="734"/>
      <c r="E140" s="734"/>
      <c r="F140" s="734"/>
      <c r="G140" s="734"/>
      <c r="H140" s="734"/>
      <c r="I140" s="734"/>
      <c r="J140" s="734"/>
      <c r="K140" s="734"/>
      <c r="L140" s="734"/>
      <c r="M140" s="734"/>
    </row>
    <row r="141" spans="1:13" x14ac:dyDescent="0.3">
      <c r="A141" s="734"/>
      <c r="B141" s="734"/>
      <c r="C141" s="734"/>
      <c r="D141" s="734"/>
      <c r="E141" s="734"/>
      <c r="F141" s="734"/>
      <c r="G141" s="734"/>
      <c r="H141" s="734"/>
      <c r="I141" s="734"/>
      <c r="J141" s="734"/>
      <c r="K141" s="734"/>
      <c r="L141" s="734"/>
      <c r="M141" s="734"/>
    </row>
    <row r="142" spans="1:13" x14ac:dyDescent="0.3">
      <c r="A142" s="734"/>
      <c r="B142" s="734"/>
      <c r="C142" s="734"/>
      <c r="D142" s="734"/>
      <c r="E142" s="734"/>
      <c r="F142" s="734"/>
      <c r="G142" s="734"/>
      <c r="H142" s="734"/>
      <c r="I142" s="734"/>
      <c r="J142" s="734"/>
      <c r="K142" s="734"/>
      <c r="L142" s="734"/>
      <c r="M142" s="734"/>
    </row>
    <row r="143" spans="1:13" x14ac:dyDescent="0.3">
      <c r="A143" s="365"/>
      <c r="B143" s="365"/>
      <c r="C143" s="365"/>
      <c r="D143" s="365"/>
      <c r="E143" s="365"/>
      <c r="F143" s="365"/>
      <c r="G143" s="365"/>
      <c r="H143" s="365"/>
      <c r="I143" s="365"/>
      <c r="J143" s="365"/>
      <c r="K143" s="365"/>
      <c r="L143" s="365"/>
      <c r="M143" s="365"/>
    </row>
    <row r="144" spans="1:13" ht="15.5" x14ac:dyDescent="0.3">
      <c r="A144" s="729" t="s">
        <v>690</v>
      </c>
      <c r="B144" s="729"/>
      <c r="C144" s="729"/>
      <c r="D144" s="729"/>
      <c r="E144" s="729"/>
      <c r="F144" s="729"/>
      <c r="G144" s="729"/>
      <c r="H144" s="729"/>
      <c r="I144" s="729"/>
      <c r="J144" s="729"/>
      <c r="K144" s="729"/>
      <c r="L144" s="729"/>
      <c r="M144" s="729"/>
    </row>
    <row r="145" spans="1:13" ht="18" customHeight="1" x14ac:dyDescent="0.3">
      <c r="A145" s="735"/>
      <c r="B145" s="735"/>
      <c r="C145" s="735"/>
      <c r="D145" s="735"/>
      <c r="E145" s="735"/>
      <c r="F145" s="735"/>
      <c r="G145" s="735"/>
      <c r="H145" s="735"/>
      <c r="I145" s="735"/>
      <c r="J145" s="735"/>
      <c r="K145" s="735"/>
      <c r="L145" s="735"/>
      <c r="M145" s="735"/>
    </row>
    <row r="146" spans="1:13" ht="18" customHeight="1" x14ac:dyDescent="0.3">
      <c r="A146" s="735"/>
      <c r="B146" s="735"/>
      <c r="C146" s="735"/>
      <c r="D146" s="735"/>
      <c r="E146" s="735"/>
      <c r="F146" s="735"/>
      <c r="G146" s="735"/>
      <c r="H146" s="735"/>
      <c r="I146" s="735"/>
      <c r="J146" s="735"/>
      <c r="K146" s="735"/>
      <c r="L146" s="735"/>
      <c r="M146" s="735"/>
    </row>
    <row r="147" spans="1:13" ht="18" customHeight="1" x14ac:dyDescent="0.3">
      <c r="A147" s="735"/>
      <c r="B147" s="735"/>
      <c r="C147" s="735"/>
      <c r="D147" s="735"/>
      <c r="E147" s="735"/>
      <c r="F147" s="735"/>
      <c r="G147" s="735"/>
      <c r="H147" s="735"/>
      <c r="I147" s="735"/>
      <c r="J147" s="735"/>
      <c r="K147" s="735"/>
      <c r="L147" s="735"/>
      <c r="M147" s="735"/>
    </row>
    <row r="148" spans="1:13" ht="18" customHeight="1" x14ac:dyDescent="0.3">
      <c r="A148" s="735"/>
      <c r="B148" s="735"/>
      <c r="C148" s="735"/>
      <c r="D148" s="735"/>
      <c r="E148" s="735"/>
      <c r="F148" s="735"/>
      <c r="G148" s="735"/>
      <c r="H148" s="735"/>
      <c r="I148" s="735"/>
      <c r="J148" s="735"/>
      <c r="K148" s="735"/>
      <c r="L148" s="735"/>
      <c r="M148" s="735"/>
    </row>
    <row r="149" spans="1:13" ht="12.65" customHeight="1" x14ac:dyDescent="0.3">
      <c r="A149" s="735"/>
      <c r="B149" s="735"/>
      <c r="C149" s="735"/>
      <c r="D149" s="735"/>
      <c r="E149" s="735"/>
      <c r="F149" s="735"/>
      <c r="G149" s="735"/>
      <c r="H149" s="735"/>
      <c r="I149" s="735"/>
      <c r="J149" s="735"/>
      <c r="K149" s="735"/>
      <c r="L149" s="735"/>
      <c r="M149" s="735"/>
    </row>
    <row r="150" spans="1:13" ht="12.65" customHeight="1" x14ac:dyDescent="0.3">
      <c r="A150" s="735"/>
      <c r="B150" s="735"/>
      <c r="C150" s="735"/>
      <c r="D150" s="735"/>
      <c r="E150" s="735"/>
      <c r="F150" s="735"/>
      <c r="G150" s="735"/>
      <c r="H150" s="735"/>
      <c r="I150" s="735"/>
      <c r="J150" s="735"/>
      <c r="K150" s="735"/>
      <c r="L150" s="735"/>
      <c r="M150" s="735"/>
    </row>
    <row r="151" spans="1:13" ht="12.65" customHeight="1" x14ac:dyDescent="0.3">
      <c r="A151" s="735"/>
      <c r="B151" s="735"/>
      <c r="C151" s="735"/>
      <c r="D151" s="735"/>
      <c r="E151" s="735"/>
      <c r="F151" s="735"/>
      <c r="G151" s="735"/>
      <c r="H151" s="735"/>
      <c r="I151" s="735"/>
      <c r="J151" s="735"/>
      <c r="K151" s="735"/>
      <c r="L151" s="735"/>
      <c r="M151" s="735"/>
    </row>
    <row r="152" spans="1:13" ht="10" customHeight="1" x14ac:dyDescent="0.3">
      <c r="A152" s="736"/>
      <c r="B152" s="736"/>
      <c r="C152" s="736"/>
      <c r="D152" s="736"/>
      <c r="E152" s="736"/>
      <c r="F152" s="736"/>
      <c r="G152" s="736"/>
      <c r="H152" s="736"/>
      <c r="I152" s="736"/>
      <c r="J152" s="736"/>
      <c r="K152" s="736"/>
      <c r="L152" s="736"/>
      <c r="M152" s="736"/>
    </row>
    <row r="153" spans="1:13" ht="15" customHeight="1" x14ac:dyDescent="0.3">
      <c r="A153" s="737" t="s">
        <v>565</v>
      </c>
      <c r="B153" s="738"/>
      <c r="C153" s="738"/>
      <c r="D153" s="738"/>
      <c r="E153" s="738"/>
      <c r="F153" s="738"/>
      <c r="G153" s="738"/>
      <c r="H153" s="738"/>
      <c r="I153" s="738"/>
      <c r="J153" s="738"/>
      <c r="K153" s="738"/>
      <c r="L153" s="738"/>
      <c r="M153" s="739"/>
    </row>
    <row r="154" spans="1:13" x14ac:dyDescent="0.3">
      <c r="A154" s="740"/>
      <c r="B154" s="741"/>
      <c r="C154" s="741"/>
      <c r="D154" s="741"/>
      <c r="E154" s="741"/>
      <c r="F154" s="741"/>
      <c r="G154" s="741"/>
      <c r="H154" s="741"/>
      <c r="I154" s="741"/>
      <c r="J154" s="741"/>
      <c r="K154" s="741"/>
      <c r="L154" s="741"/>
      <c r="M154" s="742"/>
    </row>
    <row r="155" spans="1:13" x14ac:dyDescent="0.3">
      <c r="A155" s="740"/>
      <c r="B155" s="741"/>
      <c r="C155" s="741"/>
      <c r="D155" s="741"/>
      <c r="E155" s="741"/>
      <c r="F155" s="741"/>
      <c r="G155" s="741"/>
      <c r="H155" s="741"/>
      <c r="I155" s="741"/>
      <c r="J155" s="741"/>
      <c r="K155" s="741"/>
      <c r="L155" s="741"/>
      <c r="M155" s="742"/>
    </row>
    <row r="156" spans="1:13" ht="33.65" customHeight="1" x14ac:dyDescent="0.3">
      <c r="A156" s="743"/>
      <c r="B156" s="744"/>
      <c r="C156" s="744"/>
      <c r="D156" s="744"/>
      <c r="E156" s="744"/>
      <c r="F156" s="744"/>
      <c r="G156" s="744"/>
      <c r="H156" s="744"/>
      <c r="I156" s="744"/>
      <c r="J156" s="744"/>
      <c r="K156" s="744"/>
      <c r="L156" s="744"/>
      <c r="M156" s="745"/>
    </row>
    <row r="157" spans="1:13" x14ac:dyDescent="0.3">
      <c r="A157" s="338"/>
      <c r="B157" s="338"/>
      <c r="C157" s="338"/>
      <c r="D157" s="338"/>
      <c r="E157" s="338"/>
      <c r="F157" s="338"/>
      <c r="G157" s="338"/>
      <c r="H157" s="338"/>
      <c r="I157" s="338"/>
      <c r="J157" s="338"/>
      <c r="K157" s="338"/>
      <c r="L157" s="338"/>
      <c r="M157" s="338"/>
    </row>
  </sheetData>
  <sheetProtection algorithmName="SHA-512" hashValue="1tKtawOQsHDsK1M/Ac/MSnU2g3oV5d45UWSHwE6b1wIXMN+oCpjNjd7Hd5jVK4SP+qgYGXkkU0pKxXDPg5prXQ==" saltValue="9yyJDYGMk1V8AestmSGWuw==" spinCount="100000" sheet="1" selectLockedCells="1"/>
  <mergeCells count="70">
    <mergeCell ref="A2:M2"/>
    <mergeCell ref="A137:M142"/>
    <mergeCell ref="A144:M144"/>
    <mergeCell ref="A145:M152"/>
    <mergeCell ref="A153:M156"/>
    <mergeCell ref="C129:D129"/>
    <mergeCell ref="E129:F129"/>
    <mergeCell ref="G129:I129"/>
    <mergeCell ref="D132:E132"/>
    <mergeCell ref="A135:M135"/>
    <mergeCell ref="A136:M136"/>
    <mergeCell ref="G128:I128"/>
    <mergeCell ref="C125:D125"/>
    <mergeCell ref="E125:F125"/>
    <mergeCell ref="G125:I125"/>
    <mergeCell ref="C126:D126"/>
    <mergeCell ref="A64:M64"/>
    <mergeCell ref="A46:J46"/>
    <mergeCell ref="A47:B47"/>
    <mergeCell ref="C128:D128"/>
    <mergeCell ref="E128:F128"/>
    <mergeCell ref="A113:M120"/>
    <mergeCell ref="A122:M122"/>
    <mergeCell ref="A123:M123"/>
    <mergeCell ref="C124:D124"/>
    <mergeCell ref="E124:F124"/>
    <mergeCell ref="G124:I124"/>
    <mergeCell ref="E126:F126"/>
    <mergeCell ref="G126:I126"/>
    <mergeCell ref="C127:D127"/>
    <mergeCell ref="E127:F127"/>
    <mergeCell ref="G127:I127"/>
    <mergeCell ref="A109:M109"/>
    <mergeCell ref="A65:M72"/>
    <mergeCell ref="E74:F74"/>
    <mergeCell ref="A75:M75"/>
    <mergeCell ref="A76:M76"/>
    <mergeCell ref="A77:M84"/>
    <mergeCell ref="A86:M86"/>
    <mergeCell ref="A87:M94"/>
    <mergeCell ref="A96:B96"/>
    <mergeCell ref="A98:M98"/>
    <mergeCell ref="A99:M106"/>
    <mergeCell ref="A108:M108"/>
    <mergeCell ref="C52:D52"/>
    <mergeCell ref="A54:M54"/>
    <mergeCell ref="A55:M62"/>
    <mergeCell ref="A63:M63"/>
    <mergeCell ref="A5:M5"/>
    <mergeCell ref="C9:H9"/>
    <mergeCell ref="C47:D47"/>
    <mergeCell ref="C48:D48"/>
    <mergeCell ref="C49:D49"/>
    <mergeCell ref="C50:D50"/>
    <mergeCell ref="C51:D51"/>
    <mergeCell ref="C12:H12"/>
    <mergeCell ref="A3:M3"/>
    <mergeCell ref="A45:J45"/>
    <mergeCell ref="A16:M16"/>
    <mergeCell ref="C18:H18"/>
    <mergeCell ref="C19:H19"/>
    <mergeCell ref="C20:H20"/>
    <mergeCell ref="C21:H21"/>
    <mergeCell ref="K21:L21"/>
    <mergeCell ref="A23:M23"/>
    <mergeCell ref="A24:M25"/>
    <mergeCell ref="A28:M28"/>
    <mergeCell ref="A14:M14"/>
    <mergeCell ref="C10:H10"/>
    <mergeCell ref="C11:H11"/>
  </mergeCells>
  <dataValidations count="9">
    <dataValidation type="list" allowBlank="1" showInputMessage="1" showErrorMessage="1" sqref="K125:K129" xr:uid="{04BDE14D-C81D-4585-920A-8D9DA300A9CE}">
      <formula1>"Single-Phase,Three-Phase"</formula1>
    </dataValidation>
    <dataValidation type="list" allowBlank="1" showInputMessage="1" showErrorMessage="1" sqref="I29 I31" xr:uid="{C0CA5DEC-F0BC-4459-A392-7DECFF61A6E0}">
      <formula1>"Yes, No"</formula1>
    </dataValidation>
    <dataValidation type="list" allowBlank="1" showInputMessage="1" showErrorMessage="1" sqref="F35 M35" xr:uid="{605C3417-124E-410B-93CB-A7777DE15860}">
      <formula1>"sq m, sq ft"</formula1>
    </dataValidation>
    <dataValidation type="whole" operator="greaterThan" allowBlank="1" showInputMessage="1" showErrorMessage="1" errorTitle="Invalid Year Renovated" error="Please enter a year renovated that is after the year built" sqref="I37" xr:uid="{3FCF0791-7BEC-48CB-8207-055D6130AD62}">
      <formula1>C37</formula1>
    </dataValidation>
    <dataValidation type="whole" allowBlank="1" showInputMessage="1" showErrorMessage="1" errorTitle="Invalid area" error="Please enter an area to be studied that is less than the total floorspace area" sqref="E36 H36" xr:uid="{57008763-E585-4C48-9735-153E7A2161B4}">
      <formula1>0</formula1>
      <formula2>#REF!</formula2>
    </dataValidation>
    <dataValidation type="list" allowBlank="1" showInputMessage="1" showErrorMessage="1" sqref="B125:B129" xr:uid="{2BD83D66-8A00-4249-A951-80F09B24CA9E}">
      <formula1>"HVAC, Domestic Hot Water, Others"</formula1>
    </dataValidation>
    <dataValidation type="list" showInputMessage="1" showErrorMessage="1" sqref="E125:F129" xr:uid="{7BEA8606-26FC-41A5-8C3C-6569CC6AD910}">
      <formula1>"Gas, Propane, Diesel"</formula1>
    </dataValidation>
    <dataValidation type="list" allowBlank="1" showInputMessage="1" showErrorMessage="1" sqref="C42" xr:uid="{ECD87E20-904E-462B-8060-8A3806DCB8ED}">
      <formula1>"Single Phase, Three Phase"</formula1>
    </dataValidation>
    <dataValidation type="list" allowBlank="1" showInputMessage="1" showErrorMessage="1" sqref="C39" xr:uid="{B977A8DB-5E9B-4504-9980-BF909281EAB3}">
      <formula1>"Low Rise, High Rise, Townhouse, Mixed"</formula1>
    </dataValidation>
  </dataValidations>
  <pageMargins left="0.7" right="0.7" top="0.75" bottom="0.75" header="0.3" footer="0.3"/>
  <pageSetup scale="5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BFAF2-2F0A-4012-BF0D-F860BEAF2983}">
  <sheetPr>
    <tabColor rgb="FFFFFF00"/>
  </sheetPr>
  <dimension ref="A1:E28"/>
  <sheetViews>
    <sheetView showGridLines="0" zoomScaleNormal="100" workbookViewId="0">
      <pane xSplit="1" ySplit="3" topLeftCell="B4" activePane="bottomRight" state="frozen"/>
      <selection activeCell="A24" sqref="A24:M25"/>
      <selection pane="topRight" activeCell="A24" sqref="A24:M25"/>
      <selection pane="bottomLeft" activeCell="A24" sqref="A24:M25"/>
      <selection pane="bottomRight" activeCell="A24" sqref="A24:M25"/>
    </sheetView>
  </sheetViews>
  <sheetFormatPr defaultColWidth="9.1796875" defaultRowHeight="12.5" x14ac:dyDescent="0.25"/>
  <cols>
    <col min="1" max="1" width="10.81640625" style="597" bestFit="1" customWidth="1"/>
    <col min="2" max="3" width="13.453125" style="597" customWidth="1"/>
    <col min="4" max="4" width="47.81640625" style="597" customWidth="1"/>
    <col min="5" max="5" width="79" style="597" customWidth="1"/>
    <col min="6" max="16384" width="9.1796875" style="597"/>
  </cols>
  <sheetData>
    <row r="1" spans="1:5" ht="26.5" customHeight="1" x14ac:dyDescent="0.25">
      <c r="A1" s="748" t="s">
        <v>808</v>
      </c>
      <c r="B1" s="748"/>
      <c r="C1" s="748"/>
      <c r="D1" s="595"/>
      <c r="E1" s="596" t="s">
        <v>809</v>
      </c>
    </row>
    <row r="2" spans="1:5" ht="15.5" x14ac:dyDescent="0.25">
      <c r="A2" s="748" t="s">
        <v>810</v>
      </c>
      <c r="B2" s="748"/>
      <c r="C2" s="748"/>
      <c r="D2" s="595" t="s">
        <v>811</v>
      </c>
      <c r="E2" s="598" t="s">
        <v>811</v>
      </c>
    </row>
    <row r="3" spans="1:5" ht="52" x14ac:dyDescent="0.25">
      <c r="A3" s="599" t="s">
        <v>812</v>
      </c>
      <c r="B3" s="599" t="s">
        <v>813</v>
      </c>
      <c r="C3" s="599" t="s">
        <v>814</v>
      </c>
      <c r="D3" s="600" t="s">
        <v>815</v>
      </c>
      <c r="E3" s="601" t="s">
        <v>816</v>
      </c>
    </row>
    <row r="4" spans="1:5" ht="13" x14ac:dyDescent="0.25">
      <c r="A4" s="602">
        <v>1</v>
      </c>
      <c r="B4" s="603"/>
      <c r="C4" s="604"/>
      <c r="D4" s="605"/>
      <c r="E4" s="606"/>
    </row>
    <row r="5" spans="1:5" ht="13" x14ac:dyDescent="0.3">
      <c r="A5" s="607">
        <f>1+A4</f>
        <v>2</v>
      </c>
      <c r="B5" s="608"/>
      <c r="C5" s="608"/>
      <c r="D5" s="609"/>
      <c r="E5" s="610"/>
    </row>
    <row r="6" spans="1:5" ht="13" x14ac:dyDescent="0.3">
      <c r="A6" s="607">
        <f t="shared" ref="A6:A28" si="0">1+A5</f>
        <v>3</v>
      </c>
      <c r="B6" s="608"/>
      <c r="C6" s="608"/>
      <c r="D6" s="609"/>
      <c r="E6" s="610"/>
    </row>
    <row r="7" spans="1:5" ht="13" x14ac:dyDescent="0.3">
      <c r="A7" s="607">
        <f t="shared" si="0"/>
        <v>4</v>
      </c>
      <c r="B7" s="608"/>
      <c r="C7" s="608"/>
      <c r="D7" s="609"/>
      <c r="E7" s="610"/>
    </row>
    <row r="8" spans="1:5" ht="13" x14ac:dyDescent="0.3">
      <c r="A8" s="607">
        <f t="shared" si="0"/>
        <v>5</v>
      </c>
      <c r="B8" s="608"/>
      <c r="C8" s="608"/>
      <c r="D8" s="609"/>
      <c r="E8" s="610"/>
    </row>
    <row r="9" spans="1:5" ht="13" x14ac:dyDescent="0.3">
      <c r="A9" s="607">
        <f t="shared" si="0"/>
        <v>6</v>
      </c>
      <c r="B9" s="608"/>
      <c r="C9" s="608"/>
      <c r="D9" s="609"/>
      <c r="E9" s="610"/>
    </row>
    <row r="10" spans="1:5" ht="13" x14ac:dyDescent="0.3">
      <c r="A10" s="607">
        <f t="shared" si="0"/>
        <v>7</v>
      </c>
      <c r="B10" s="608"/>
      <c r="C10" s="608"/>
      <c r="D10" s="609"/>
      <c r="E10" s="610"/>
    </row>
    <row r="11" spans="1:5" ht="13" x14ac:dyDescent="0.3">
      <c r="A11" s="607">
        <f t="shared" si="0"/>
        <v>8</v>
      </c>
      <c r="B11" s="608"/>
      <c r="C11" s="608"/>
      <c r="D11" s="609"/>
      <c r="E11" s="610"/>
    </row>
    <row r="12" spans="1:5" ht="13" x14ac:dyDescent="0.3">
      <c r="A12" s="607">
        <f t="shared" si="0"/>
        <v>9</v>
      </c>
      <c r="B12" s="608"/>
      <c r="C12" s="608"/>
      <c r="D12" s="609"/>
      <c r="E12" s="610"/>
    </row>
    <row r="13" spans="1:5" ht="13" x14ac:dyDescent="0.3">
      <c r="A13" s="607">
        <f t="shared" si="0"/>
        <v>10</v>
      </c>
      <c r="B13" s="608"/>
      <c r="C13" s="608"/>
      <c r="D13" s="609"/>
      <c r="E13" s="610"/>
    </row>
    <row r="14" spans="1:5" ht="13" x14ac:dyDescent="0.3">
      <c r="A14" s="607">
        <f t="shared" si="0"/>
        <v>11</v>
      </c>
      <c r="B14" s="608"/>
      <c r="C14" s="608"/>
      <c r="D14" s="609"/>
      <c r="E14" s="610"/>
    </row>
    <row r="15" spans="1:5" ht="13" x14ac:dyDescent="0.3">
      <c r="A15" s="607">
        <f t="shared" si="0"/>
        <v>12</v>
      </c>
      <c r="B15" s="608"/>
      <c r="C15" s="608"/>
      <c r="D15" s="609"/>
      <c r="E15" s="610"/>
    </row>
    <row r="16" spans="1:5" ht="13" x14ac:dyDescent="0.3">
      <c r="A16" s="607">
        <f t="shared" si="0"/>
        <v>13</v>
      </c>
      <c r="B16" s="608"/>
      <c r="C16" s="608"/>
      <c r="D16" s="609"/>
      <c r="E16" s="610"/>
    </row>
    <row r="17" spans="1:5" ht="13" x14ac:dyDescent="0.3">
      <c r="A17" s="607">
        <f t="shared" si="0"/>
        <v>14</v>
      </c>
      <c r="B17" s="608"/>
      <c r="C17" s="608"/>
      <c r="D17" s="609"/>
      <c r="E17" s="610"/>
    </row>
    <row r="18" spans="1:5" ht="13" x14ac:dyDescent="0.3">
      <c r="A18" s="607">
        <f t="shared" si="0"/>
        <v>15</v>
      </c>
      <c r="B18" s="608"/>
      <c r="C18" s="608"/>
      <c r="D18" s="609"/>
      <c r="E18" s="610"/>
    </row>
    <row r="19" spans="1:5" ht="13" x14ac:dyDescent="0.3">
      <c r="A19" s="607">
        <f t="shared" si="0"/>
        <v>16</v>
      </c>
      <c r="B19" s="608"/>
      <c r="C19" s="608"/>
      <c r="D19" s="609"/>
      <c r="E19" s="610"/>
    </row>
    <row r="20" spans="1:5" ht="13" x14ac:dyDescent="0.3">
      <c r="A20" s="607">
        <f t="shared" si="0"/>
        <v>17</v>
      </c>
      <c r="B20" s="608"/>
      <c r="C20" s="608"/>
      <c r="D20" s="609"/>
      <c r="E20" s="610"/>
    </row>
    <row r="21" spans="1:5" ht="13" x14ac:dyDescent="0.3">
      <c r="A21" s="607">
        <f t="shared" si="0"/>
        <v>18</v>
      </c>
      <c r="B21" s="608"/>
      <c r="C21" s="608"/>
      <c r="D21" s="609"/>
      <c r="E21" s="610"/>
    </row>
    <row r="22" spans="1:5" ht="13" x14ac:dyDescent="0.3">
      <c r="A22" s="607">
        <f t="shared" si="0"/>
        <v>19</v>
      </c>
      <c r="B22" s="608"/>
      <c r="C22" s="608"/>
      <c r="D22" s="609"/>
      <c r="E22" s="610"/>
    </row>
    <row r="23" spans="1:5" ht="13" x14ac:dyDescent="0.3">
      <c r="A23" s="607">
        <f t="shared" si="0"/>
        <v>20</v>
      </c>
      <c r="B23" s="608"/>
      <c r="C23" s="608"/>
      <c r="D23" s="609"/>
      <c r="E23" s="610"/>
    </row>
    <row r="24" spans="1:5" ht="13" x14ac:dyDescent="0.3">
      <c r="A24" s="607">
        <f t="shared" si="0"/>
        <v>21</v>
      </c>
      <c r="B24" s="608"/>
      <c r="C24" s="608"/>
      <c r="D24" s="609"/>
      <c r="E24" s="610"/>
    </row>
    <row r="25" spans="1:5" ht="13" x14ac:dyDescent="0.3">
      <c r="A25" s="607">
        <f t="shared" si="0"/>
        <v>22</v>
      </c>
      <c r="B25" s="608"/>
      <c r="C25" s="608"/>
      <c r="D25" s="609"/>
      <c r="E25" s="610"/>
    </row>
    <row r="26" spans="1:5" ht="13" x14ac:dyDescent="0.3">
      <c r="A26" s="607">
        <f t="shared" si="0"/>
        <v>23</v>
      </c>
      <c r="B26" s="608"/>
      <c r="C26" s="608"/>
      <c r="D26" s="609"/>
      <c r="E26" s="610"/>
    </row>
    <row r="27" spans="1:5" ht="13" x14ac:dyDescent="0.3">
      <c r="A27" s="607">
        <f t="shared" si="0"/>
        <v>24</v>
      </c>
      <c r="B27" s="608"/>
      <c r="C27" s="608"/>
      <c r="D27" s="609"/>
      <c r="E27" s="610"/>
    </row>
    <row r="28" spans="1:5" ht="13" x14ac:dyDescent="0.3">
      <c r="A28" s="607">
        <f t="shared" si="0"/>
        <v>25</v>
      </c>
      <c r="B28" s="608"/>
      <c r="C28" s="608"/>
      <c r="D28" s="609"/>
      <c r="E28" s="610"/>
    </row>
  </sheetData>
  <mergeCells count="2">
    <mergeCell ref="A1:C1"/>
    <mergeCell ref="A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D62A-E18B-424D-AEE6-3D13E1915567}">
  <sheetPr codeName="Sheet11">
    <tabColor rgb="FF92D050"/>
    <pageSetUpPr fitToPage="1"/>
  </sheetPr>
  <dimension ref="B1:T85"/>
  <sheetViews>
    <sheetView showGridLines="0" zoomScaleNormal="100" workbookViewId="0">
      <selection activeCell="U59" sqref="U59"/>
    </sheetView>
  </sheetViews>
  <sheetFormatPr defaultColWidth="8.81640625" defaultRowHeight="14" x14ac:dyDescent="0.3"/>
  <cols>
    <col min="1" max="2" width="2.81640625" style="63" customWidth="1"/>
    <col min="3" max="3" width="6" style="63" customWidth="1"/>
    <col min="4" max="4" width="5" style="63" customWidth="1"/>
    <col min="5" max="5" width="7.1796875" style="63" customWidth="1"/>
    <col min="6" max="6" width="6.81640625" style="63" customWidth="1"/>
    <col min="7" max="7" width="4.81640625" style="63" customWidth="1"/>
    <col min="8" max="8" width="7.1796875" style="63" customWidth="1"/>
    <col min="9" max="9" width="8.54296875" style="63" customWidth="1"/>
    <col min="10" max="10" width="9.54296875" style="63" customWidth="1"/>
    <col min="11" max="11" width="10.453125" style="63" customWidth="1"/>
    <col min="12" max="12" width="11.81640625" style="63" customWidth="1"/>
    <col min="13" max="13" width="13.54296875" style="63" bestFit="1" customWidth="1"/>
    <col min="14" max="14" width="12" style="63" bestFit="1" customWidth="1"/>
    <col min="15" max="15" width="11.1796875" style="63" customWidth="1"/>
    <col min="16" max="16" width="1.81640625" style="148" customWidth="1"/>
    <col min="17" max="17" width="3.54296875" style="148" hidden="1" customWidth="1"/>
    <col min="18" max="18" width="11.1796875" style="63" hidden="1" customWidth="1"/>
    <col min="19" max="20" width="8.81640625" style="63" customWidth="1"/>
    <col min="21" max="21" width="40.1796875" style="63" customWidth="1"/>
    <col min="22" max="22" width="48.54296875" style="63" customWidth="1"/>
    <col min="23" max="24" width="8.81640625" style="63" customWidth="1"/>
    <col min="25" max="16384" width="8.81640625" style="63"/>
  </cols>
  <sheetData>
    <row r="1" spans="2:19" ht="28" x14ac:dyDescent="0.3">
      <c r="B1" s="231" t="s">
        <v>416</v>
      </c>
    </row>
    <row r="2" spans="2:19" x14ac:dyDescent="0.3">
      <c r="B2" s="63" t="s">
        <v>673</v>
      </c>
    </row>
    <row r="4" spans="2:19" x14ac:dyDescent="0.3">
      <c r="B4" s="64"/>
      <c r="C4" s="64"/>
      <c r="D4" s="64"/>
      <c r="E4" s="64"/>
      <c r="F4" s="64"/>
      <c r="G4" s="64"/>
      <c r="H4" s="64"/>
      <c r="I4" s="64"/>
      <c r="J4" s="64"/>
      <c r="K4" s="64"/>
      <c r="L4" s="64"/>
      <c r="M4" s="64"/>
      <c r="N4" s="64"/>
      <c r="O4" s="64"/>
    </row>
    <row r="5" spans="2:19" ht="3" customHeight="1" x14ac:dyDescent="0.3">
      <c r="B5" s="70"/>
      <c r="C5" s="70"/>
      <c r="D5" s="70"/>
      <c r="E5" s="70"/>
      <c r="F5" s="70"/>
      <c r="G5" s="70"/>
      <c r="H5" s="70"/>
      <c r="I5" s="70"/>
      <c r="J5" s="70"/>
      <c r="K5" s="70"/>
      <c r="L5" s="70"/>
      <c r="M5" s="70"/>
      <c r="N5" s="70"/>
      <c r="O5" s="70"/>
      <c r="P5" s="63"/>
      <c r="Q5" s="63"/>
    </row>
    <row r="6" spans="2:19" x14ac:dyDescent="0.3">
      <c r="B6" s="65"/>
      <c r="C6" s="67" t="s">
        <v>403</v>
      </c>
      <c r="D6" s="66"/>
      <c r="E6" s="749"/>
      <c r="F6" s="749"/>
      <c r="G6" s="749"/>
      <c r="H6" s="749"/>
      <c r="I6" s="65"/>
      <c r="J6" s="65"/>
      <c r="K6" s="68"/>
      <c r="L6" s="68"/>
      <c r="M6" s="69"/>
      <c r="N6" s="66"/>
      <c r="O6" s="66"/>
      <c r="P6" s="76"/>
      <c r="Q6" s="63"/>
    </row>
    <row r="7" spans="2:19" ht="3.65" customHeight="1" x14ac:dyDescent="0.3">
      <c r="B7" s="70"/>
      <c r="C7" s="70"/>
      <c r="D7" s="70"/>
      <c r="E7" s="70"/>
      <c r="F7" s="70"/>
      <c r="G7" s="70"/>
      <c r="H7" s="70"/>
      <c r="I7" s="70"/>
      <c r="J7" s="70"/>
      <c r="K7" s="70"/>
      <c r="L7" s="70"/>
      <c r="M7" s="70"/>
      <c r="N7" s="70"/>
      <c r="O7" s="70"/>
      <c r="P7" s="63"/>
      <c r="Q7" s="63"/>
    </row>
    <row r="8" spans="2:19" x14ac:dyDescent="0.3">
      <c r="B8" s="71"/>
      <c r="C8" s="72"/>
      <c r="D8" s="72"/>
      <c r="E8" s="71"/>
      <c r="F8" s="71"/>
      <c r="G8" s="73"/>
      <c r="H8" s="73"/>
      <c r="I8" s="74"/>
      <c r="J8" s="75"/>
      <c r="K8" s="75"/>
      <c r="L8" s="71"/>
      <c r="M8" s="76"/>
      <c r="N8" s="76"/>
      <c r="O8" s="77"/>
      <c r="P8" s="149"/>
      <c r="Q8" s="149"/>
    </row>
    <row r="9" spans="2:19" ht="18" x14ac:dyDescent="0.3">
      <c r="B9" s="772" t="s">
        <v>194</v>
      </c>
      <c r="C9" s="772"/>
      <c r="D9" s="772"/>
      <c r="E9" s="772"/>
      <c r="F9" s="772"/>
      <c r="G9" s="772"/>
      <c r="H9" s="772"/>
      <c r="I9" s="772"/>
      <c r="J9" s="772"/>
      <c r="K9" s="772"/>
      <c r="L9" s="772"/>
      <c r="M9" s="772"/>
      <c r="N9" s="772"/>
      <c r="O9" s="772"/>
      <c r="P9" s="150"/>
      <c r="Q9" s="150"/>
    </row>
    <row r="10" spans="2:19" ht="5.15" customHeight="1" x14ac:dyDescent="0.35">
      <c r="B10" s="78"/>
      <c r="C10" s="78"/>
      <c r="D10" s="78"/>
      <c r="E10" s="78"/>
      <c r="F10" s="78"/>
      <c r="G10" s="78"/>
      <c r="H10" s="78"/>
      <c r="I10" s="78"/>
      <c r="J10" s="78"/>
      <c r="K10" s="78"/>
      <c r="L10" s="78"/>
      <c r="M10" s="78"/>
      <c r="N10" s="78"/>
      <c r="O10" s="78"/>
      <c r="P10" s="80"/>
      <c r="Q10" s="80"/>
    </row>
    <row r="11" spans="2:19" ht="15.5" x14ac:dyDescent="0.35">
      <c r="C11" s="79" t="s">
        <v>342</v>
      </c>
      <c r="D11" s="80"/>
      <c r="E11" s="80"/>
      <c r="F11" s="75"/>
      <c r="G11" s="81"/>
      <c r="O11" s="75"/>
      <c r="P11" s="89"/>
      <c r="Q11" s="89"/>
    </row>
    <row r="12" spans="2:19" ht="14.5" x14ac:dyDescent="0.3">
      <c r="C12" s="779">
        <f>'Project Info'!C4</f>
        <v>0</v>
      </c>
      <c r="D12" s="779"/>
      <c r="E12" s="779"/>
      <c r="F12" s="779"/>
      <c r="G12" s="779"/>
      <c r="H12" s="779"/>
      <c r="I12" s="779"/>
      <c r="J12" s="779"/>
      <c r="K12" s="779"/>
      <c r="L12" s="779"/>
      <c r="M12" s="771"/>
      <c r="N12" s="82"/>
      <c r="O12" s="82"/>
      <c r="P12" s="151"/>
      <c r="Q12" s="151"/>
    </row>
    <row r="13" spans="2:19" ht="9" customHeight="1" x14ac:dyDescent="0.35">
      <c r="B13" s="80"/>
      <c r="C13" s="80"/>
      <c r="D13" s="80"/>
      <c r="E13" s="80"/>
      <c r="F13" s="75"/>
      <c r="G13" s="81"/>
      <c r="H13" s="83"/>
      <c r="I13" s="83"/>
      <c r="J13" s="83"/>
      <c r="K13" s="83"/>
      <c r="L13" s="83"/>
      <c r="M13" s="83"/>
      <c r="N13" s="83"/>
      <c r="O13" s="75"/>
      <c r="P13" s="89"/>
      <c r="Q13" s="89"/>
    </row>
    <row r="14" spans="2:19" x14ac:dyDescent="0.3">
      <c r="C14" s="79" t="s">
        <v>200</v>
      </c>
      <c r="E14" s="81"/>
      <c r="F14" s="81"/>
      <c r="G14" s="75"/>
      <c r="K14" s="79" t="s">
        <v>343</v>
      </c>
      <c r="M14" s="75"/>
      <c r="N14" s="75"/>
    </row>
    <row r="15" spans="2:19" ht="14.5" x14ac:dyDescent="0.3">
      <c r="C15" s="779">
        <f>'Project Info'!C8</f>
        <v>0</v>
      </c>
      <c r="D15" s="779"/>
      <c r="E15" s="779"/>
      <c r="F15" s="779"/>
      <c r="G15" s="779"/>
      <c r="H15" s="779"/>
      <c r="K15" s="781"/>
      <c r="L15" s="781"/>
      <c r="M15" s="771"/>
      <c r="N15" s="84"/>
      <c r="S15" s="619" t="s">
        <v>834</v>
      </c>
    </row>
    <row r="16" spans="2:19" ht="6.65" customHeight="1" x14ac:dyDescent="0.3">
      <c r="B16" s="85"/>
      <c r="C16" s="85"/>
      <c r="D16" s="81"/>
      <c r="E16" s="81"/>
      <c r="F16" s="75"/>
      <c r="G16" s="71"/>
      <c r="H16" s="86"/>
      <c r="L16" s="87"/>
      <c r="M16" s="75"/>
      <c r="N16" s="75"/>
      <c r="O16" s="75"/>
      <c r="P16" s="89"/>
      <c r="Q16" s="89"/>
    </row>
    <row r="17" spans="2:17" x14ac:dyDescent="0.3">
      <c r="C17" s="79" t="s">
        <v>759</v>
      </c>
      <c r="D17" s="81"/>
      <c r="E17" s="81"/>
      <c r="K17" s="79" t="s">
        <v>399</v>
      </c>
      <c r="M17" s="75"/>
      <c r="N17" s="75"/>
    </row>
    <row r="18" spans="2:17" ht="14.5" x14ac:dyDescent="0.3">
      <c r="C18" s="780">
        <f>SUM(xRM!J28,xRM!J41)</f>
        <v>0</v>
      </c>
      <c r="D18" s="780"/>
      <c r="E18" s="780"/>
      <c r="K18" s="770">
        <f>SUM(Summary!AI31:AP37)</f>
        <v>0</v>
      </c>
      <c r="L18" s="770"/>
      <c r="M18" s="771"/>
      <c r="N18" s="88" t="s">
        <v>344</v>
      </c>
    </row>
    <row r="19" spans="2:17" x14ac:dyDescent="0.3">
      <c r="C19" s="79"/>
      <c r="D19" s="81"/>
      <c r="E19" s="81"/>
      <c r="G19" s="79"/>
      <c r="K19" s="79" t="s">
        <v>398</v>
      </c>
      <c r="M19" s="75"/>
      <c r="N19" s="75"/>
    </row>
    <row r="20" spans="2:17" ht="14.5" x14ac:dyDescent="0.3">
      <c r="C20" s="777"/>
      <c r="D20" s="777"/>
      <c r="E20" s="777"/>
      <c r="G20" s="79"/>
      <c r="K20" s="770">
        <f>SUM(Summary!AG41:AK44)</f>
        <v>0</v>
      </c>
      <c r="L20" s="770"/>
      <c r="M20" s="771"/>
      <c r="N20" s="88" t="s">
        <v>344</v>
      </c>
    </row>
    <row r="21" spans="2:17" x14ac:dyDescent="0.3">
      <c r="C21" s="79" t="s">
        <v>674</v>
      </c>
      <c r="K21" s="79" t="s">
        <v>400</v>
      </c>
      <c r="M21" s="75"/>
      <c r="N21" s="75"/>
    </row>
    <row r="22" spans="2:17" ht="14.5" x14ac:dyDescent="0.3">
      <c r="C22" s="778">
        <f>Summary!Y16</f>
        <v>0</v>
      </c>
      <c r="D22" s="778"/>
      <c r="E22" s="778"/>
      <c r="G22" s="79"/>
      <c r="K22" s="770">
        <f>Summary!Y21</f>
        <v>0</v>
      </c>
      <c r="L22" s="770"/>
      <c r="M22" s="771"/>
      <c r="N22" s="88" t="s">
        <v>362</v>
      </c>
    </row>
    <row r="23" spans="2:17" x14ac:dyDescent="0.3">
      <c r="B23" s="89"/>
      <c r="E23" s="73"/>
      <c r="F23" s="73"/>
      <c r="G23" s="73"/>
      <c r="H23" s="73"/>
      <c r="I23" s="73"/>
      <c r="J23" s="73"/>
      <c r="K23" s="75"/>
      <c r="L23" s="75"/>
      <c r="M23" s="73"/>
      <c r="N23" s="73"/>
      <c r="O23" s="84"/>
      <c r="P23" s="152"/>
      <c r="Q23" s="152"/>
    </row>
    <row r="24" spans="2:17" ht="18" x14ac:dyDescent="0.3">
      <c r="B24" s="772" t="s">
        <v>345</v>
      </c>
      <c r="C24" s="772"/>
      <c r="D24" s="772"/>
      <c r="E24" s="772"/>
      <c r="F24" s="772"/>
      <c r="G24" s="772"/>
      <c r="H24" s="772"/>
      <c r="I24" s="772"/>
      <c r="J24" s="772"/>
      <c r="K24" s="772"/>
      <c r="L24" s="772"/>
      <c r="M24" s="772"/>
      <c r="N24" s="772"/>
      <c r="O24" s="772"/>
      <c r="P24" s="150"/>
      <c r="Q24" s="150"/>
    </row>
    <row r="25" spans="2:17" ht="30" customHeight="1" x14ac:dyDescent="0.3">
      <c r="B25" s="753" t="s">
        <v>675</v>
      </c>
      <c r="C25" s="753"/>
      <c r="D25" s="753"/>
      <c r="E25" s="753"/>
      <c r="F25" s="753"/>
      <c r="G25" s="753"/>
      <c r="H25" s="753"/>
      <c r="I25" s="753"/>
      <c r="J25" s="753"/>
      <c r="K25" s="753"/>
      <c r="L25" s="753"/>
      <c r="M25" s="753"/>
      <c r="N25" s="753"/>
      <c r="O25" s="753"/>
      <c r="P25" s="153"/>
      <c r="Q25" s="153"/>
    </row>
    <row r="26" spans="2:17" ht="42.65" customHeight="1" x14ac:dyDescent="0.3">
      <c r="B26" s="91"/>
      <c r="C26" s="773" t="s">
        <v>758</v>
      </c>
      <c r="D26" s="773"/>
      <c r="E26" s="773"/>
      <c r="F26" s="773"/>
      <c r="G26" s="773"/>
      <c r="H26" s="773"/>
      <c r="I26" s="773"/>
      <c r="J26" s="773"/>
      <c r="K26" s="773"/>
      <c r="L26" s="773"/>
      <c r="M26" s="773"/>
      <c r="N26" s="773"/>
      <c r="O26" s="773"/>
      <c r="P26" s="90"/>
      <c r="Q26" s="90"/>
    </row>
    <row r="27" spans="2:17" ht="18" x14ac:dyDescent="0.3">
      <c r="B27" s="92"/>
      <c r="C27" s="93"/>
      <c r="D27" s="93"/>
      <c r="E27" s="93"/>
      <c r="F27" s="93"/>
      <c r="G27" s="93"/>
      <c r="H27" s="93"/>
      <c r="I27" s="93"/>
      <c r="J27" s="93"/>
      <c r="K27" s="93"/>
      <c r="L27" s="93"/>
      <c r="M27" s="93"/>
      <c r="N27" s="93"/>
      <c r="O27" s="93"/>
      <c r="P27" s="154"/>
      <c r="Q27" s="154"/>
    </row>
    <row r="28" spans="2:17" x14ac:dyDescent="0.3">
      <c r="B28" s="94"/>
      <c r="C28" s="95"/>
      <c r="D28" s="95"/>
      <c r="E28" s="95"/>
      <c r="F28" s="95"/>
      <c r="G28" s="94"/>
      <c r="H28" s="95"/>
      <c r="I28" s="95"/>
      <c r="J28" s="95"/>
      <c r="K28" s="95"/>
      <c r="L28" s="95"/>
      <c r="M28" s="95"/>
      <c r="N28" s="95"/>
      <c r="O28" s="146"/>
      <c r="P28" s="146"/>
      <c r="Q28" s="146"/>
    </row>
    <row r="29" spans="2:17" x14ac:dyDescent="0.3">
      <c r="B29" s="96"/>
      <c r="C29" s="97"/>
      <c r="D29" s="97"/>
      <c r="E29" s="97"/>
      <c r="F29" s="97"/>
      <c r="G29" s="97"/>
      <c r="H29" s="97"/>
      <c r="I29" s="97"/>
      <c r="J29" s="97"/>
      <c r="K29" s="97"/>
      <c r="L29" s="97"/>
      <c r="M29" s="97"/>
      <c r="N29" s="97"/>
      <c r="O29" s="146"/>
      <c r="P29" s="146"/>
      <c r="Q29" s="146"/>
    </row>
    <row r="30" spans="2:17" x14ac:dyDescent="0.3">
      <c r="B30" s="96"/>
      <c r="C30" s="97"/>
      <c r="D30" s="97"/>
      <c r="E30" s="97"/>
      <c r="F30" s="97"/>
      <c r="G30" s="97"/>
      <c r="H30" s="97"/>
      <c r="I30" s="97"/>
      <c r="J30" s="97"/>
      <c r="K30" s="97"/>
      <c r="L30" s="97"/>
      <c r="M30" s="97"/>
      <c r="N30" s="97"/>
      <c r="O30" s="146"/>
      <c r="P30" s="146"/>
      <c r="Q30" s="146"/>
    </row>
    <row r="31" spans="2:17" x14ac:dyDescent="0.3">
      <c r="B31" s="96"/>
      <c r="C31" s="98"/>
      <c r="D31" s="99"/>
      <c r="E31" s="99"/>
      <c r="F31" s="99"/>
      <c r="G31" s="99"/>
      <c r="H31" s="99"/>
      <c r="I31" s="99"/>
      <c r="J31" s="99"/>
      <c r="K31" s="99"/>
      <c r="L31" s="99"/>
      <c r="M31" s="99"/>
      <c r="N31" s="99"/>
      <c r="O31" s="147"/>
      <c r="P31" s="147"/>
      <c r="Q31" s="147"/>
    </row>
    <row r="32" spans="2:17" x14ac:dyDescent="0.3">
      <c r="B32" s="100"/>
      <c r="C32" s="100"/>
      <c r="D32" s="100"/>
      <c r="E32" s="100"/>
      <c r="F32" s="100"/>
      <c r="G32" s="100"/>
      <c r="H32" s="100"/>
      <c r="I32" s="100"/>
      <c r="J32" s="100"/>
      <c r="K32" s="100"/>
      <c r="L32" s="100"/>
      <c r="M32" s="100"/>
      <c r="N32" s="100"/>
      <c r="O32" s="100"/>
      <c r="P32" s="100"/>
      <c r="Q32" s="100"/>
    </row>
    <row r="33" spans="2:17" x14ac:dyDescent="0.3">
      <c r="B33" s="101"/>
      <c r="C33" s="102" t="s">
        <v>409</v>
      </c>
      <c r="D33" s="103"/>
      <c r="E33" s="104"/>
      <c r="J33" s="105"/>
      <c r="K33" s="105"/>
      <c r="L33" s="103"/>
      <c r="M33" s="103"/>
      <c r="N33" s="103"/>
      <c r="O33" s="103"/>
      <c r="P33" s="100"/>
      <c r="Q33" s="100"/>
    </row>
    <row r="34" spans="2:17" x14ac:dyDescent="0.3">
      <c r="B34" s="101"/>
      <c r="C34" s="774"/>
      <c r="D34" s="775"/>
      <c r="E34" s="776"/>
      <c r="F34" s="105" t="str">
        <f>IF(C34="","(yyyy-mm-dd)","")</f>
        <v>(yyyy-mm-dd)</v>
      </c>
      <c r="G34" s="106"/>
      <c r="H34" s="106"/>
      <c r="I34" s="105"/>
      <c r="J34" s="105"/>
      <c r="K34" s="105"/>
      <c r="L34" s="103"/>
      <c r="M34" s="103"/>
      <c r="N34" s="103"/>
      <c r="O34" s="103"/>
      <c r="P34" s="100"/>
      <c r="Q34" s="100"/>
    </row>
    <row r="35" spans="2:17" x14ac:dyDescent="0.3">
      <c r="B35" s="101"/>
      <c r="C35" s="107"/>
      <c r="D35" s="107"/>
      <c r="E35" s="107"/>
      <c r="F35" s="105"/>
      <c r="G35" s="106"/>
      <c r="H35" s="106"/>
      <c r="I35" s="105"/>
      <c r="J35" s="105"/>
      <c r="K35" s="105"/>
      <c r="L35" s="103"/>
      <c r="M35" s="103"/>
      <c r="N35" s="103"/>
      <c r="O35" s="103"/>
      <c r="P35" s="100"/>
      <c r="Q35" s="100"/>
    </row>
    <row r="36" spans="2:17" x14ac:dyDescent="0.3">
      <c r="B36" s="108"/>
      <c r="C36" s="102" t="s">
        <v>346</v>
      </c>
      <c r="D36" s="108"/>
      <c r="E36" s="108"/>
      <c r="F36" s="108"/>
    </row>
    <row r="37" spans="2:17" x14ac:dyDescent="0.3">
      <c r="B37" s="109"/>
      <c r="C37" s="767"/>
      <c r="D37" s="768"/>
      <c r="E37" s="768"/>
      <c r="F37" s="768"/>
      <c r="G37" s="768"/>
      <c r="H37" s="768"/>
      <c r="I37" s="768"/>
      <c r="J37" s="768"/>
      <c r="K37" s="769"/>
      <c r="L37" s="110"/>
      <c r="M37" s="110"/>
      <c r="N37" s="110"/>
      <c r="O37" s="110"/>
      <c r="P37" s="155"/>
      <c r="Q37" s="155"/>
    </row>
    <row r="38" spans="2:17" x14ac:dyDescent="0.3">
      <c r="B38" s="109"/>
      <c r="C38" s="111"/>
      <c r="D38" s="111"/>
      <c r="E38" s="111"/>
      <c r="F38" s="111"/>
      <c r="G38" s="111"/>
      <c r="H38" s="111"/>
      <c r="I38" s="111"/>
      <c r="J38" s="111"/>
      <c r="K38" s="111"/>
      <c r="L38" s="110"/>
      <c r="M38" s="110"/>
      <c r="N38" s="110"/>
      <c r="O38" s="110"/>
      <c r="P38" s="155"/>
      <c r="Q38" s="155"/>
    </row>
    <row r="39" spans="2:17" x14ac:dyDescent="0.3">
      <c r="B39" s="108"/>
      <c r="C39" s="102" t="s">
        <v>347</v>
      </c>
      <c r="D39" s="108"/>
      <c r="E39" s="108"/>
      <c r="F39" s="108"/>
      <c r="K39" s="102" t="s">
        <v>348</v>
      </c>
      <c r="L39" s="109"/>
    </row>
    <row r="40" spans="2:17" ht="14.5" x14ac:dyDescent="0.3">
      <c r="B40" s="109"/>
      <c r="C40" s="767"/>
      <c r="D40" s="768"/>
      <c r="E40" s="768"/>
      <c r="F40" s="768"/>
      <c r="G40" s="768"/>
      <c r="H40" s="768"/>
      <c r="I40" s="769"/>
      <c r="K40" s="754"/>
      <c r="L40" s="755"/>
      <c r="M40" s="756"/>
      <c r="O40" s="112"/>
      <c r="P40" s="156"/>
      <c r="Q40" s="156"/>
    </row>
    <row r="41" spans="2:17" x14ac:dyDescent="0.3">
      <c r="B41" s="109"/>
      <c r="C41" s="111"/>
      <c r="D41" s="111"/>
      <c r="E41" s="111"/>
      <c r="F41" s="111"/>
      <c r="G41" s="111"/>
      <c r="H41" s="111"/>
      <c r="I41" s="111"/>
      <c r="K41" s="113"/>
      <c r="L41" s="113"/>
      <c r="M41" s="113"/>
      <c r="N41" s="112"/>
      <c r="O41" s="112"/>
      <c r="P41" s="156"/>
      <c r="Q41" s="156"/>
    </row>
    <row r="42" spans="2:17" x14ac:dyDescent="0.3">
      <c r="B42" s="108"/>
      <c r="C42" s="102" t="s">
        <v>349</v>
      </c>
      <c r="D42" s="108"/>
      <c r="E42" s="108"/>
      <c r="F42" s="108"/>
      <c r="K42" s="102" t="s">
        <v>350</v>
      </c>
      <c r="L42" s="109"/>
    </row>
    <row r="43" spans="2:17" ht="14.5" x14ac:dyDescent="0.3">
      <c r="B43" s="109"/>
      <c r="C43" s="767"/>
      <c r="D43" s="768"/>
      <c r="E43" s="768"/>
      <c r="F43" s="768"/>
      <c r="G43" s="768"/>
      <c r="H43" s="768"/>
      <c r="I43" s="769"/>
      <c r="K43" s="754"/>
      <c r="L43" s="755"/>
      <c r="M43" s="756"/>
      <c r="O43" s="112"/>
      <c r="P43" s="156"/>
      <c r="Q43" s="156"/>
    </row>
    <row r="44" spans="2:17" x14ac:dyDescent="0.3">
      <c r="B44" s="109"/>
      <c r="C44" s="111"/>
      <c r="D44" s="111"/>
      <c r="E44" s="111"/>
      <c r="F44" s="111"/>
      <c r="G44" s="111"/>
      <c r="H44" s="111"/>
      <c r="I44" s="111"/>
      <c r="K44" s="113"/>
      <c r="L44" s="113"/>
      <c r="M44" s="113"/>
      <c r="N44" s="112"/>
      <c r="O44" s="112"/>
      <c r="P44" s="156"/>
      <c r="Q44" s="156"/>
    </row>
    <row r="45" spans="2:17" x14ac:dyDescent="0.3">
      <c r="B45" s="108"/>
      <c r="C45" s="102" t="s">
        <v>351</v>
      </c>
      <c r="D45" s="108"/>
      <c r="E45" s="108"/>
      <c r="F45" s="108"/>
      <c r="K45" s="102" t="s">
        <v>352</v>
      </c>
      <c r="L45" s="109"/>
    </row>
    <row r="46" spans="2:17" ht="14.5" x14ac:dyDescent="0.3">
      <c r="B46" s="108"/>
      <c r="C46" s="767"/>
      <c r="D46" s="768"/>
      <c r="E46" s="768"/>
      <c r="F46" s="768"/>
      <c r="G46" s="768"/>
      <c r="H46" s="768"/>
      <c r="I46" s="769"/>
      <c r="K46" s="754"/>
      <c r="L46" s="755"/>
      <c r="M46" s="756"/>
      <c r="O46" s="112"/>
      <c r="P46" s="156"/>
      <c r="Q46" s="156"/>
    </row>
    <row r="47" spans="2:17" x14ac:dyDescent="0.3">
      <c r="B47" s="114"/>
      <c r="C47" s="114"/>
      <c r="D47" s="75"/>
      <c r="E47" s="75"/>
      <c r="F47" s="75"/>
      <c r="G47" s="75"/>
      <c r="H47" s="75"/>
      <c r="I47" s="75"/>
      <c r="J47" s="75"/>
      <c r="K47" s="75"/>
      <c r="L47" s="75"/>
      <c r="M47" s="75"/>
      <c r="N47" s="75"/>
      <c r="O47" s="75"/>
      <c r="P47" s="89"/>
      <c r="Q47" s="89"/>
    </row>
    <row r="48" spans="2:17" x14ac:dyDescent="0.3">
      <c r="B48" s="114"/>
      <c r="C48" s="114"/>
      <c r="D48" s="75"/>
      <c r="E48" s="75"/>
      <c r="F48" s="75"/>
      <c r="G48" s="75"/>
      <c r="H48" s="75"/>
      <c r="I48" s="75"/>
      <c r="J48" s="75"/>
      <c r="K48" s="75"/>
      <c r="L48" s="75"/>
      <c r="M48" s="75"/>
      <c r="N48" s="75"/>
      <c r="O48" s="75"/>
      <c r="P48" s="89"/>
      <c r="Q48" s="89"/>
    </row>
    <row r="49" spans="2:20" ht="18" x14ac:dyDescent="0.3">
      <c r="B49" s="115"/>
      <c r="C49" s="201" t="s">
        <v>361</v>
      </c>
      <c r="D49" s="201"/>
      <c r="E49" s="201"/>
      <c r="F49" s="201"/>
      <c r="G49" s="201"/>
      <c r="H49" s="201"/>
      <c r="I49" s="201"/>
      <c r="J49" s="201"/>
      <c r="K49" s="201"/>
      <c r="L49" s="201"/>
      <c r="M49" s="201"/>
      <c r="N49" s="201"/>
      <c r="O49" s="201"/>
      <c r="P49" s="201"/>
      <c r="Q49" s="201"/>
      <c r="R49" s="201"/>
    </row>
    <row r="50" spans="2:20" ht="18" x14ac:dyDescent="0.3">
      <c r="B50" s="115"/>
      <c r="C50" s="139" t="s">
        <v>363</v>
      </c>
      <c r="D50" s="116"/>
      <c r="E50" s="116"/>
      <c r="F50" s="116"/>
      <c r="G50" s="116"/>
      <c r="H50" s="116"/>
      <c r="I50" s="116"/>
      <c r="J50" s="116"/>
      <c r="K50" s="116"/>
      <c r="L50" s="116"/>
      <c r="M50" s="116"/>
      <c r="N50" s="116"/>
      <c r="O50" s="116"/>
      <c r="P50" s="150"/>
      <c r="Q50" s="150"/>
      <c r="R50" s="116"/>
    </row>
    <row r="51" spans="2:20" s="140" customFormat="1" ht="13" customHeight="1" x14ac:dyDescent="0.25">
      <c r="B51" s="141"/>
      <c r="C51" s="143" t="s">
        <v>364</v>
      </c>
      <c r="D51" s="142"/>
      <c r="E51" s="142"/>
      <c r="F51" s="142"/>
      <c r="G51" s="142"/>
      <c r="H51" s="142"/>
      <c r="I51" s="142"/>
      <c r="J51" s="142"/>
      <c r="K51" s="142"/>
      <c r="L51" s="142"/>
      <c r="M51" s="142"/>
      <c r="N51" s="142"/>
      <c r="O51" s="142"/>
      <c r="P51" s="157"/>
      <c r="Q51" s="157"/>
      <c r="R51" s="142"/>
    </row>
    <row r="52" spans="2:20" s="140" customFormat="1" ht="13" customHeight="1" x14ac:dyDescent="0.25">
      <c r="B52" s="141"/>
      <c r="C52" s="143" t="s">
        <v>365</v>
      </c>
      <c r="D52" s="142"/>
      <c r="E52" s="142"/>
      <c r="F52" s="142"/>
      <c r="G52" s="142"/>
      <c r="H52" s="142"/>
      <c r="I52" s="142"/>
      <c r="J52" s="142"/>
      <c r="K52" s="142"/>
      <c r="L52" s="142"/>
      <c r="M52" s="142"/>
      <c r="N52" s="142"/>
      <c r="O52" s="142"/>
      <c r="P52" s="157"/>
      <c r="Q52" s="157"/>
      <c r="R52" s="142"/>
    </row>
    <row r="53" spans="2:20" ht="18" x14ac:dyDescent="0.3">
      <c r="B53" s="115"/>
      <c r="D53" s="116"/>
      <c r="E53" s="116"/>
      <c r="F53" s="116"/>
      <c r="G53" s="116"/>
      <c r="H53" s="116"/>
      <c r="I53" s="116"/>
      <c r="J53" s="116"/>
      <c r="K53" s="116"/>
      <c r="L53" s="116"/>
      <c r="M53" s="116"/>
      <c r="N53" s="116"/>
      <c r="O53" s="116"/>
      <c r="P53" s="150"/>
      <c r="Q53" s="150"/>
      <c r="R53" s="116"/>
    </row>
    <row r="54" spans="2:20" ht="14.5" customHeight="1" x14ac:dyDescent="0.35">
      <c r="B54" s="757" t="s">
        <v>679</v>
      </c>
      <c r="C54" s="757"/>
      <c r="D54" s="757"/>
      <c r="E54" s="757"/>
      <c r="F54" s="757"/>
      <c r="G54" s="757"/>
      <c r="H54" s="757"/>
      <c r="I54" s="757"/>
      <c r="J54" s="757"/>
      <c r="K54" s="757"/>
      <c r="L54" s="757"/>
      <c r="M54" s="757"/>
      <c r="N54" s="757"/>
      <c r="O54" s="757"/>
      <c r="P54" s="158"/>
      <c r="Q54" s="158"/>
    </row>
    <row r="55" spans="2:20" ht="14.5" customHeight="1" x14ac:dyDescent="0.35">
      <c r="B55" s="216" t="s">
        <v>676</v>
      </c>
      <c r="C55" s="199"/>
      <c r="D55" s="199"/>
      <c r="E55" s="199"/>
      <c r="F55" s="199"/>
      <c r="G55" s="199"/>
      <c r="H55" s="199"/>
      <c r="I55" s="199"/>
      <c r="J55" s="199"/>
      <c r="K55" s="199"/>
      <c r="L55" s="199"/>
      <c r="M55" s="199"/>
      <c r="N55" s="199"/>
      <c r="O55" s="199"/>
      <c r="P55" s="158"/>
      <c r="Q55" s="158"/>
    </row>
    <row r="56" spans="2:20" ht="53.15" customHeight="1" x14ac:dyDescent="0.3">
      <c r="B56" s="758" t="s">
        <v>667</v>
      </c>
      <c r="C56" s="764"/>
      <c r="D56" s="764"/>
      <c r="E56" s="764"/>
      <c r="F56" s="764"/>
      <c r="G56" s="764"/>
      <c r="H56" s="759"/>
      <c r="I56" s="457" t="s">
        <v>688</v>
      </c>
      <c r="J56" s="758" t="s">
        <v>19</v>
      </c>
      <c r="K56" s="759"/>
      <c r="L56" s="512" t="s">
        <v>677</v>
      </c>
      <c r="M56" s="457" t="s">
        <v>404</v>
      </c>
      <c r="N56" s="457" t="s">
        <v>408</v>
      </c>
      <c r="O56" s="457" t="s">
        <v>397</v>
      </c>
      <c r="P56" s="159"/>
      <c r="Q56" s="23" t="s">
        <v>58</v>
      </c>
      <c r="R56" s="23" t="s">
        <v>57</v>
      </c>
    </row>
    <row r="57" spans="2:20" ht="38.15" customHeight="1" x14ac:dyDescent="0.35">
      <c r="B57" s="761" t="str">
        <f>IF(L57&lt;&gt;"","Electrical service upgrade to support LCE measures","Not in scope")</f>
        <v>Not in scope</v>
      </c>
      <c r="C57" s="762"/>
      <c r="D57" s="762"/>
      <c r="E57" s="762"/>
      <c r="F57" s="762"/>
      <c r="G57" s="762"/>
      <c r="H57" s="763"/>
      <c r="I57" s="232" t="str">
        <f>IF(L57&lt;&gt;"",Summary!Y22,"")</f>
        <v/>
      </c>
      <c r="J57" s="765" t="str">
        <f>IF(L57&lt;&gt;"","$130 per tCO2e over LCE measure life","")</f>
        <v/>
      </c>
      <c r="K57" s="766"/>
      <c r="L57" s="513" t="str">
        <f>IF(OR(Summary!V43=0,Summary!V43=""),"",Summary!V43)</f>
        <v/>
      </c>
      <c r="M57" s="138"/>
      <c r="N57" s="138"/>
      <c r="O57" s="138"/>
      <c r="P57" s="160"/>
      <c r="Q57" s="160"/>
      <c r="R57" s="161"/>
    </row>
    <row r="58" spans="2:20" s="509" customFormat="1" ht="8.5" customHeight="1" x14ac:dyDescent="0.35">
      <c r="B58" s="499"/>
      <c r="C58" s="500"/>
      <c r="D58" s="501"/>
      <c r="E58" s="500"/>
      <c r="F58" s="502"/>
      <c r="G58" s="502"/>
      <c r="H58" s="501"/>
      <c r="I58" s="503"/>
      <c r="J58" s="504"/>
      <c r="K58" s="505"/>
      <c r="L58" s="504"/>
      <c r="M58" s="506"/>
      <c r="N58" s="506"/>
      <c r="O58" s="506"/>
      <c r="P58" s="507"/>
      <c r="Q58" s="507"/>
      <c r="R58" s="508"/>
    </row>
    <row r="59" spans="2:20" ht="53.15" customHeight="1" x14ac:dyDescent="0.35">
      <c r="B59" s="457" t="s">
        <v>55</v>
      </c>
      <c r="C59" s="758" t="s">
        <v>140</v>
      </c>
      <c r="D59" s="759"/>
      <c r="E59" s="760" t="s">
        <v>678</v>
      </c>
      <c r="F59" s="760"/>
      <c r="G59" s="760"/>
      <c r="H59" s="760"/>
      <c r="I59" s="457" t="s">
        <v>410</v>
      </c>
      <c r="J59" s="457" t="s">
        <v>19</v>
      </c>
      <c r="K59" s="457" t="s">
        <v>677</v>
      </c>
      <c r="L59" s="457" t="s">
        <v>56</v>
      </c>
      <c r="M59" s="457" t="s">
        <v>404</v>
      </c>
      <c r="N59" s="457" t="s">
        <v>408</v>
      </c>
      <c r="O59" s="457" t="s">
        <v>397</v>
      </c>
      <c r="P59" s="160"/>
      <c r="Q59" s="160"/>
      <c r="R59" s="161"/>
      <c r="T59" s="514"/>
    </row>
    <row r="60" spans="2:20" ht="43" customHeight="1" x14ac:dyDescent="0.35">
      <c r="B60" s="380" t="str">
        <f>IF(I60&lt;&gt;"","1","")</f>
        <v/>
      </c>
      <c r="C60" s="750" t="str">
        <f>IF(I60&lt;&gt;"","EE-Lighting","")</f>
        <v/>
      </c>
      <c r="D60" s="751"/>
      <c r="E60" s="750" t="str">
        <f>IF(I60&lt;&gt;"","Stand Alone Ceiling/Wall Mounted Occupancy/Daylight Harvesting Sensors","No lighting control in scope")</f>
        <v>No lighting control in scope</v>
      </c>
      <c r="F60" s="752"/>
      <c r="G60" s="752"/>
      <c r="H60" s="751"/>
      <c r="I60" s="232" t="str">
        <f>IF(SUM(Table1323[iControls Incentives])&gt;0,SUMIF(Table1323[iControls Incentives],"&gt;0",Table1323[iNumber of Sensors]),"")</f>
        <v/>
      </c>
      <c r="J60" s="144" t="str" cm="1">
        <f t="array" ref="J60">IF(I60&lt;&gt;"",TEXT(Table13[],"$0")&amp;" per sensor","")</f>
        <v/>
      </c>
      <c r="K60" s="145" t="str" cm="1">
        <f t="array" ref="K60">IF(I60&lt;&gt;"",I60*Table13[],"")</f>
        <v/>
      </c>
      <c r="L60" s="144" t="str">
        <f>IF(I60&lt;&gt;"","N/A","")</f>
        <v/>
      </c>
      <c r="M60" s="138"/>
      <c r="N60" s="138"/>
      <c r="O60" s="138"/>
      <c r="P60" s="160"/>
      <c r="Q60" s="160"/>
      <c r="R60" s="161"/>
    </row>
    <row r="61" spans="2:20" ht="40" customHeight="1" x14ac:dyDescent="0.35">
      <c r="B61" s="380" t="str">
        <f>IF($B$60&lt;&gt;"",IF(C61&lt;&gt;"",ROW()-59,""),IF(C61&lt;&gt;"",ROW()-60,""))</f>
        <v/>
      </c>
      <c r="C61" s="750" t="str">
        <f>IF(R61="Light","EE-Lighting",IF(R61="Mech",INDEX(NLIndexTable[Type-Category],MATCH(Q61,NLIndexTable[Unique Name],0),1),""))</f>
        <v/>
      </c>
      <c r="D61" s="751"/>
      <c r="E61" s="750" t="str">
        <f>IF(R61="Light",INDEX(Table1323[Rebate Category],MATCH(Q61,Table1323[Concatenate ECM and Part Number],0),1),IF(R61="Mech",INDEX(NLTable[Energy Measure],MATCH(Q61,NLTable[Concatenate],0),1),""))</f>
        <v/>
      </c>
      <c r="F61" s="752"/>
      <c r="G61" s="752"/>
      <c r="H61" s="751"/>
      <c r="I61" s="232" t="str">
        <f>IF(R61="Light",SUMIF(Table1323[Concatenate ECM and Part Number],Q61,Table1323[Quantity of luminaires or lamps]),IF(C61="EE-Envelope",Mechanical!$BG$5,IF(R61="Mech",K61/VLOOKUP(Q61,NLIndexTable[[Unique Name]:[BC Hydro Rebate]],5,FALSE),"")))</f>
        <v/>
      </c>
      <c r="J61" s="144" t="str">
        <f>IF(R61="Light",TEXT((K61/I61),"$0")&amp;" "&amp;INDEX(Table1323[Incentive 
unit],MATCH(Q61,Table1323[Concatenate ECM and Part Number],0),1),IF(C61="EE-Envelope",TEXT((K61/I61),"$0")&amp;" per sqft",IF(R61="Mech",TEXT((K61/I61),"$0")&amp;" "&amp;INDEX(NLTable[Rebate Unit],MATCH(Q61,NLTable[Concatenate],0),1),"")))</f>
        <v/>
      </c>
      <c r="K61" s="145" t="str">
        <f>IF(R61="Light",SUMIF(Table1323[Concatenate ECM and Part Number],Q61,Table1323[Lighting Rebate]),IF(R61="Mech",SUMIF(NLTable[Concatenate],Q61,NLTable[Total Rebate]),""))</f>
        <v/>
      </c>
      <c r="L61" s="144" t="str">
        <f>IF(R61="Light",INDEX(Table1323[LED lamp/luminaire retrofit part '#],MATCH(Q61,Table1323[Concatenate ECM and Part Number],0),1),IF(R61="Mech","N/A",""))</f>
        <v/>
      </c>
      <c r="M61" s="138"/>
      <c r="N61" s="138"/>
      <c r="O61" s="138"/>
      <c r="P61" s="160"/>
      <c r="Q61" s="160" t="str" cm="1">
        <f t="array" ref="Q61">_xlfn.UNIQUE(_xlfn._xlws.FILTER(Identifier!A2:A190,Identifier!A2:A190&lt;&gt;"",""))</f>
        <v/>
      </c>
      <c r="R61" s="161" t="str">
        <f>IF(Q61="","",LEFT(Q61,FIND("_",Q61)-1))</f>
        <v/>
      </c>
    </row>
    <row r="62" spans="2:20" ht="40" customHeight="1" x14ac:dyDescent="0.35">
      <c r="B62" s="380" t="str">
        <f>IF($B$60&lt;&gt;"",IF(C62&lt;&gt;"",ROW()-59,""),IF(C62&lt;&gt;"",ROW()-60,""))</f>
        <v/>
      </c>
      <c r="C62" s="750" t="str">
        <f>IF(R62="Light","EE-Lighting",IF(R62="Mech",INDEX(NLIndexTable[Type-Category],MATCH(Q62,NLIndexTable[Unique Name],0),1),""))</f>
        <v/>
      </c>
      <c r="D62" s="751"/>
      <c r="E62" s="750" t="str">
        <f>IF(R62="Light",INDEX(Table1323[Rebate Category],MATCH(Q62,Table1323[Concatenate ECM and Part Number],0),1),IF(R62="Mech",INDEX(NLTable[Energy Measure],MATCH(Q62,NLTable[Concatenate],0),1),""))</f>
        <v/>
      </c>
      <c r="F62" s="752"/>
      <c r="G62" s="752"/>
      <c r="H62" s="751"/>
      <c r="I62" s="232" t="str">
        <f>IF(R62="Light",SUMIF(Table1323[Concatenate ECM and Part Number],Q62,Table1323[Quantity of luminaires or lamps]),IF(C62="EE-Envelope",Mechanical!$BG$5,IF(R62="Mech",K62/VLOOKUP(Q62,NLIndexTable[[Unique Name]:[BC Hydro Rebate]],5,FALSE),"")))</f>
        <v/>
      </c>
      <c r="J62" s="144" t="str">
        <f>IF(R62="Light",TEXT((K62/I62),"$0")&amp;" "&amp;INDEX(Table1323[Incentive 
unit],MATCH(Q62,Table1323[Concatenate ECM and Part Number],0),1),IF(C62="EE-Envelope",TEXT((K62/I62),"$0")&amp;" per sqft",IF(R62="Mech",TEXT((K62/I62),"$0")&amp;" "&amp;INDEX(NLTable[Rebate Unit],MATCH(Q62,NLTable[Concatenate],0),1),"")))</f>
        <v/>
      </c>
      <c r="K62" s="145" t="str">
        <f>IF(R62="Light",SUMIF(Table1323[Concatenate ECM and Part Number],Q62,Table1323[Lighting Rebate]),IF(R62="Mech",SUMIF(NLTable[Concatenate],Q62,NLTable[Total Rebate]),""))</f>
        <v/>
      </c>
      <c r="L62" s="144" t="str">
        <f>IF(R62="Light",INDEX(Table1323[LED lamp/luminaire retrofit part '#],MATCH(Q62,Table1323[Concatenate ECM and Part Number],0),1),IF(R62="Mech","N/A",""))</f>
        <v/>
      </c>
      <c r="M62" s="138"/>
      <c r="N62" s="138"/>
      <c r="O62" s="138"/>
      <c r="P62" s="160"/>
      <c r="Q62" s="160"/>
      <c r="R62" s="161" t="str">
        <f t="shared" ref="R62:R85" si="0">IF(Q62="","",LEFT(Q62,FIND("_",Q62)-1))</f>
        <v/>
      </c>
    </row>
    <row r="63" spans="2:20" ht="40" customHeight="1" x14ac:dyDescent="0.35">
      <c r="B63" s="380" t="str">
        <f t="shared" ref="B63:B85" si="1">IF($B$60&lt;&gt;"",IF(C63&lt;&gt;"",ROW()-59,""),IF(C63&lt;&gt;"",ROW()-60,""))</f>
        <v/>
      </c>
      <c r="C63" s="750" t="str">
        <f>IF(R63="Light","EE-Lighting",IF(R63="Mech",INDEX(NLIndexTable[Type-Category],MATCH(Q63,NLIndexTable[Unique Name],0),1),""))</f>
        <v/>
      </c>
      <c r="D63" s="751"/>
      <c r="E63" s="750" t="str">
        <f>IF(R63="Light",INDEX(Table1323[Rebate Category],MATCH(Q63,Table1323[Concatenate ECM and Part Number],0),1),IF(R63="Mech",INDEX(NLTable[Energy Measure],MATCH(Q63,NLTable[Concatenate],0),1),""))</f>
        <v/>
      </c>
      <c r="F63" s="752"/>
      <c r="G63" s="752"/>
      <c r="H63" s="751"/>
      <c r="I63" s="232" t="str">
        <f>IF(R63="Light",SUMIF(Table1323[Concatenate ECM and Part Number],Q63,Table1323[Quantity of luminaires or lamps]),IF(C63="EE-Envelope",Mechanical!$BG$5,IF(R63="Mech",K63/VLOOKUP(Q63,NLIndexTable[[Unique Name]:[BC Hydro Rebate]],5,FALSE),"")))</f>
        <v/>
      </c>
      <c r="J63" s="144" t="str">
        <f>IF(R63="Light",TEXT((K63/I63),"$0")&amp;" "&amp;INDEX(Table1323[Incentive 
unit],MATCH(Q63,Table1323[Concatenate ECM and Part Number],0),1),IF(C63="EE-Envelope",TEXT((K63/I63),"$0")&amp;" per sqft",IF(R63="Mech",TEXT((K63/I63),"$0")&amp;" "&amp;INDEX(NLTable[Rebate Unit],MATCH(Q63,NLTable[Concatenate],0),1),"")))</f>
        <v/>
      </c>
      <c r="K63" s="145" t="str">
        <f>IF(R63="Light",SUMIF(Table1323[Concatenate ECM and Part Number],Q63,Table1323[Lighting Rebate]),IF(R63="Mech",SUMIF(NLTable[Concatenate],Q63,NLTable[Total Rebate]),""))</f>
        <v/>
      </c>
      <c r="L63" s="144" t="str">
        <f>IF(R63="Light",INDEX(Table1323[LED lamp/luminaire retrofit part '#],MATCH(Q63,Table1323[Concatenate ECM and Part Number],0),1),IF(R63="Mech","N/A",""))</f>
        <v/>
      </c>
      <c r="M63" s="138"/>
      <c r="N63" s="138"/>
      <c r="O63" s="138"/>
      <c r="P63" s="160"/>
      <c r="Q63" s="160"/>
      <c r="R63" s="161" t="str">
        <f t="shared" si="0"/>
        <v/>
      </c>
    </row>
    <row r="64" spans="2:20" ht="40" customHeight="1" x14ac:dyDescent="0.35">
      <c r="B64" s="380" t="str">
        <f t="shared" si="1"/>
        <v/>
      </c>
      <c r="C64" s="750" t="str">
        <f>IF(R64="Light","EE-Lighting",IF(R64="Mech",INDEX(NLIndexTable[Type-Category],MATCH(Q64,NLIndexTable[Unique Name],0),1),""))</f>
        <v/>
      </c>
      <c r="D64" s="751"/>
      <c r="E64" s="750" t="str">
        <f>IF(R64="Light",INDEX(Table1323[Rebate Category],MATCH(Q64,Table1323[Concatenate ECM and Part Number],0),1),IF(R64="Mech",INDEX(NLTable[Energy Measure],MATCH(Q64,NLTable[Concatenate],0),1),""))</f>
        <v/>
      </c>
      <c r="F64" s="752"/>
      <c r="G64" s="752"/>
      <c r="H64" s="751"/>
      <c r="I64" s="232" t="str">
        <f>IF(R64="Light",SUMIF(Table1323[Concatenate ECM and Part Number],Q64,Table1323[Quantity of luminaires or lamps]),IF(C64="EE-Envelope",Mechanical!$BG$5,IF(R64="Mech",K64/VLOOKUP(Q64,NLIndexTable[[Unique Name]:[BC Hydro Rebate]],5,FALSE),"")))</f>
        <v/>
      </c>
      <c r="J64" s="144" t="str">
        <f>IF(R64="Light",TEXT((K64/I64),"$0")&amp;" "&amp;INDEX(Table1323[Incentive 
unit],MATCH(Q64,Table1323[Concatenate ECM and Part Number],0),1),IF(C64="EE-Envelope",TEXT((K64/I64),"$0")&amp;" per sqft",IF(R64="Mech",TEXT((K64/I64),"$0")&amp;" "&amp;INDEX(NLTable[Rebate Unit],MATCH(Q64,NLTable[Concatenate],0),1),"")))</f>
        <v/>
      </c>
      <c r="K64" s="145" t="str">
        <f>IF(R64="Light",SUMIF(Table1323[Concatenate ECM and Part Number],Q64,Table1323[Lighting Rebate]),IF(R64="Mech",SUMIF(NLTable[Concatenate],Q64,NLTable[Total Rebate]),""))</f>
        <v/>
      </c>
      <c r="L64" s="144" t="str">
        <f>IF(R64="Light",INDEX(Table1323[LED lamp/luminaire retrofit part '#],MATCH(Q64,Table1323[Concatenate ECM and Part Number],0),1),IF(R64="Mech","N/A",""))</f>
        <v/>
      </c>
      <c r="M64" s="138"/>
      <c r="N64" s="138"/>
      <c r="O64" s="138"/>
      <c r="P64" s="160"/>
      <c r="Q64" s="160"/>
      <c r="R64" s="161" t="str">
        <f t="shared" si="0"/>
        <v/>
      </c>
    </row>
    <row r="65" spans="2:18" ht="40" customHeight="1" x14ac:dyDescent="0.35">
      <c r="B65" s="380" t="str">
        <f t="shared" si="1"/>
        <v/>
      </c>
      <c r="C65" s="750" t="str">
        <f>IF(R65="Light","EE-Lighting",IF(R65="Mech",INDEX(NLIndexTable[Type-Category],MATCH(Q65,NLIndexTable[Unique Name],0),1),""))</f>
        <v/>
      </c>
      <c r="D65" s="751"/>
      <c r="E65" s="750" t="str">
        <f>IF(R65="Light",INDEX(Table1323[Rebate Category],MATCH(Q65,Table1323[Concatenate ECM and Part Number],0),1),IF(R65="Mech",INDEX(NLTable[Energy Measure],MATCH(Q65,NLTable[Concatenate],0),1),""))</f>
        <v/>
      </c>
      <c r="F65" s="752"/>
      <c r="G65" s="752"/>
      <c r="H65" s="751"/>
      <c r="I65" s="232" t="str">
        <f>IF(R65="Light",SUMIF(Table1323[Concatenate ECM and Part Number],Q65,Table1323[Quantity of luminaires or lamps]),IF(C65="EE-Envelope",Mechanical!$BG$5,IF(R65="Mech",K65/VLOOKUP(Q65,NLIndexTable[[Unique Name]:[BC Hydro Rebate]],5,FALSE),"")))</f>
        <v/>
      </c>
      <c r="J65" s="144" t="str">
        <f>IF(R65="Light",TEXT((K65/I65),"$0")&amp;" "&amp;INDEX(Table1323[Incentive 
unit],MATCH(Q65,Table1323[Concatenate ECM and Part Number],0),1),IF(C65="EE-Envelope",TEXT((K65/I65),"$0")&amp;" per sqft",IF(R65="Mech",TEXT((K65/I65),"$0")&amp;" "&amp;INDEX(NLTable[Rebate Unit],MATCH(Q65,NLTable[Concatenate],0),1),"")))</f>
        <v/>
      </c>
      <c r="K65" s="145" t="str">
        <f>IF(R65="Light",SUMIF(Table1323[Concatenate ECM and Part Number],Q65,Table1323[Lighting Rebate]),IF(R65="Mech",SUMIF(NLTable[Concatenate],Q65,NLTable[Total Rebate]),""))</f>
        <v/>
      </c>
      <c r="L65" s="144" t="str">
        <f>IF(R65="Light",INDEX(Table1323[LED lamp/luminaire retrofit part '#],MATCH(Q65,Table1323[Concatenate ECM and Part Number],0),1),IF(R65="Mech","N/A",""))</f>
        <v/>
      </c>
      <c r="M65" s="138"/>
      <c r="N65" s="138"/>
      <c r="O65" s="138"/>
      <c r="P65" s="160"/>
      <c r="Q65" s="160"/>
      <c r="R65" s="161" t="str">
        <f t="shared" si="0"/>
        <v/>
      </c>
    </row>
    <row r="66" spans="2:18" ht="40" customHeight="1" x14ac:dyDescent="0.35">
      <c r="B66" s="380" t="str">
        <f t="shared" si="1"/>
        <v/>
      </c>
      <c r="C66" s="750" t="str">
        <f>IF(R66="Light","EE-Lighting",IF(R66="Mech",INDEX(NLIndexTable[Type-Category],MATCH(Q66,NLIndexTable[Unique Name],0),1),""))</f>
        <v/>
      </c>
      <c r="D66" s="751"/>
      <c r="E66" s="750" t="str">
        <f>IF(R66="Light",INDEX(Table1323[Rebate Category],MATCH(Q66,Table1323[Concatenate ECM and Part Number],0),1),IF(R66="Mech",INDEX(NLTable[Energy Measure],MATCH(Q66,NLTable[Concatenate],0),1),""))</f>
        <v/>
      </c>
      <c r="F66" s="752"/>
      <c r="G66" s="752"/>
      <c r="H66" s="751"/>
      <c r="I66" s="232" t="str">
        <f>IF(R66="Light",SUMIF(Table1323[Concatenate ECM and Part Number],Q66,Table1323[Quantity of luminaires or lamps]),IF(C66="EE-Envelope",Mechanical!$BG$5,IF(R66="Mech",K66/VLOOKUP(Q66,NLIndexTable[[Unique Name]:[BC Hydro Rebate]],5,FALSE),"")))</f>
        <v/>
      </c>
      <c r="J66" s="144" t="str">
        <f>IF(R66="Light",TEXT((K66/I66),"$0")&amp;" "&amp;INDEX(Table1323[Incentive 
unit],MATCH(Q66,Table1323[Concatenate ECM and Part Number],0),1),IF(C66="EE-Envelope",TEXT((K66/I66),"$0")&amp;" per sqft",IF(R66="Mech",TEXT((K66/I66),"$0")&amp;" "&amp;INDEX(NLTable[Rebate Unit],MATCH(Q66,NLTable[Concatenate],0),1),"")))</f>
        <v/>
      </c>
      <c r="K66" s="145" t="str">
        <f>IF(R66="Light",SUMIF(Table1323[Concatenate ECM and Part Number],Q66,Table1323[Lighting Rebate]),IF(R66="Mech",SUMIF(NLTable[Concatenate],Q66,NLTable[Total Rebate]),""))</f>
        <v/>
      </c>
      <c r="L66" s="144" t="str">
        <f>IF(R66="Light",INDEX(Table1323[LED lamp/luminaire retrofit part '#],MATCH(Q66,Table1323[Concatenate ECM and Part Number],0),1),IF(R66="Mech","N/A",""))</f>
        <v/>
      </c>
      <c r="M66" s="138"/>
      <c r="N66" s="138"/>
      <c r="O66" s="138"/>
      <c r="P66" s="160"/>
      <c r="Q66" s="160"/>
      <c r="R66" s="161" t="str">
        <f t="shared" si="0"/>
        <v/>
      </c>
    </row>
    <row r="67" spans="2:18" ht="40" customHeight="1" x14ac:dyDescent="0.35">
      <c r="B67" s="380" t="str">
        <f t="shared" si="1"/>
        <v/>
      </c>
      <c r="C67" s="750" t="str">
        <f>IF(R67="Light","EE-Lighting",IF(R67="Mech",INDEX(NLIndexTable[Type-Category],MATCH(Q67,NLIndexTable[Unique Name],0),1),""))</f>
        <v/>
      </c>
      <c r="D67" s="751"/>
      <c r="E67" s="750" t="str">
        <f>IF(R67="Light",INDEX(Table1323[Rebate Category],MATCH(Q67,Table1323[Concatenate ECM and Part Number],0),1),IF(R67="Mech",INDEX(NLTable[Energy Measure],MATCH(Q67,NLTable[Concatenate],0),1),""))</f>
        <v/>
      </c>
      <c r="F67" s="752"/>
      <c r="G67" s="752"/>
      <c r="H67" s="751"/>
      <c r="I67" s="232" t="str">
        <f>IF(R67="Light",SUMIF(Table1323[Concatenate ECM and Part Number],Q67,Table1323[Quantity of luminaires or lamps]),IF(C67="EE-Envelope",Mechanical!$BG$5,IF(R67="Mech",K67/VLOOKUP(Q67,NLIndexTable[[Unique Name]:[BC Hydro Rebate]],5,FALSE),"")))</f>
        <v/>
      </c>
      <c r="J67" s="144" t="str">
        <f>IF(R67="Light",TEXT((K67/I67),"$0")&amp;" "&amp;INDEX(Table1323[Incentive 
unit],MATCH(Q67,Table1323[Concatenate ECM and Part Number],0),1),IF(C67="EE-Envelope",TEXT((K67/I67),"$0")&amp;" per sqft",IF(R67="Mech",TEXT((K67/I67),"$0")&amp;" "&amp;INDEX(NLTable[Rebate Unit],MATCH(Q67,NLTable[Concatenate],0),1),"")))</f>
        <v/>
      </c>
      <c r="K67" s="145" t="str">
        <f>IF(R67="Light",SUMIF(Table1323[Concatenate ECM and Part Number],Q67,Table1323[Lighting Rebate]),IF(R67="Mech",SUMIF(NLTable[Concatenate],Q67,NLTable[Total Rebate]),""))</f>
        <v/>
      </c>
      <c r="L67" s="144" t="str">
        <f>IF(R67="Light",INDEX(Table1323[LED lamp/luminaire retrofit part '#],MATCH(Q67,Table1323[Concatenate ECM and Part Number],0),1),IF(R67="Mech","N/A",""))</f>
        <v/>
      </c>
      <c r="M67" s="138"/>
      <c r="N67" s="138"/>
      <c r="O67" s="138"/>
      <c r="P67" s="160"/>
      <c r="Q67" s="160"/>
      <c r="R67" s="161" t="str">
        <f t="shared" si="0"/>
        <v/>
      </c>
    </row>
    <row r="68" spans="2:18" ht="40" customHeight="1" x14ac:dyDescent="0.35">
      <c r="B68" s="380" t="str">
        <f t="shared" si="1"/>
        <v/>
      </c>
      <c r="C68" s="750" t="str">
        <f>IF(R68="Light","EE-Lighting",IF(R68="Mech",INDEX(NLIndexTable[Type-Category],MATCH(Q68,NLIndexTable[Unique Name],0),1),""))</f>
        <v/>
      </c>
      <c r="D68" s="751"/>
      <c r="E68" s="750" t="str">
        <f>IF(R68="Light",INDEX(Table1323[Rebate Category],MATCH(Q68,Table1323[Concatenate ECM and Part Number],0),1),IF(R68="Mech",INDEX(NLTable[Energy Measure],MATCH(Q68,NLTable[Concatenate],0),1),""))</f>
        <v/>
      </c>
      <c r="F68" s="752"/>
      <c r="G68" s="752"/>
      <c r="H68" s="751"/>
      <c r="I68" s="232" t="str">
        <f>IF(R68="Light",SUMIF(Table1323[Concatenate ECM and Part Number],Q68,Table1323[Quantity of luminaires or lamps]),IF(C68="EE-Envelope",Mechanical!$BG$5,IF(R68="Mech",K68/VLOOKUP(Q68,NLIndexTable[[Unique Name]:[BC Hydro Rebate]],5,FALSE),"")))</f>
        <v/>
      </c>
      <c r="J68" s="144" t="str">
        <f>IF(R68="Light",TEXT((K68/I68),"$0")&amp;" "&amp;INDEX(Table1323[Incentive 
unit],MATCH(Q68,Table1323[Concatenate ECM and Part Number],0),1),IF(C68="EE-Envelope",TEXT((K68/I68),"$0")&amp;" per sqft",IF(R68="Mech",TEXT((K68/I68),"$0")&amp;" "&amp;INDEX(NLTable[Rebate Unit],MATCH(Q68,NLTable[Concatenate],0),1),"")))</f>
        <v/>
      </c>
      <c r="K68" s="145" t="str">
        <f>IF(R68="Light",SUMIF(Table1323[Concatenate ECM and Part Number],Q68,Table1323[Lighting Rebate]),IF(R68="Mech",SUMIF(NLTable[Concatenate],Q68,NLTable[Total Rebate]),""))</f>
        <v/>
      </c>
      <c r="L68" s="144" t="str">
        <f>IF(R68="Light",INDEX(Table1323[LED lamp/luminaire retrofit part '#],MATCH(Q68,Table1323[Concatenate ECM and Part Number],0),1),IF(R68="Mech","N/A",""))</f>
        <v/>
      </c>
      <c r="M68" s="138"/>
      <c r="N68" s="138"/>
      <c r="O68" s="138"/>
      <c r="P68" s="160"/>
      <c r="Q68" s="160"/>
      <c r="R68" s="161" t="str">
        <f t="shared" si="0"/>
        <v/>
      </c>
    </row>
    <row r="69" spans="2:18" ht="40" customHeight="1" x14ac:dyDescent="0.35">
      <c r="B69" s="380" t="str">
        <f t="shared" si="1"/>
        <v/>
      </c>
      <c r="C69" s="750" t="str">
        <f>IF(R69="Light","EE-Lighting",IF(R69="Mech",INDEX(NLIndexTable[Type-Category],MATCH(Q69,NLIndexTable[Unique Name],0),1),""))</f>
        <v/>
      </c>
      <c r="D69" s="751"/>
      <c r="E69" s="750" t="str">
        <f>IF(R69="Light",INDEX(Table1323[Rebate Category],MATCH(Q69,Table1323[Concatenate ECM and Part Number],0),1),IF(R69="Mech",INDEX(NLTable[Energy Measure],MATCH(Q69,NLTable[Concatenate],0),1),""))</f>
        <v/>
      </c>
      <c r="F69" s="752"/>
      <c r="G69" s="752"/>
      <c r="H69" s="751"/>
      <c r="I69" s="232" t="str">
        <f>IF(R69="Light",SUMIF(Table1323[Concatenate ECM and Part Number],Q69,Table1323[Quantity of luminaires or lamps]),IF(C69="EE-Envelope",Mechanical!$BG$5,IF(R69="Mech",K69/VLOOKUP(Q69,NLIndexTable[[Unique Name]:[BC Hydro Rebate]],5,FALSE),"")))</f>
        <v/>
      </c>
      <c r="J69" s="144" t="str">
        <f>IF(R69="Light",TEXT((K69/I69),"$0")&amp;" "&amp;INDEX(Table1323[Incentive 
unit],MATCH(Q69,Table1323[Concatenate ECM and Part Number],0),1),IF(C69="EE-Envelope",TEXT((K69/I69),"$0")&amp;" per sqft (subject to RO cap)",IF(R69="Mech",TEXT((K69/I69),"$0")&amp;" "&amp;INDEX(NLTable[Rebate Unit],MATCH(Q69,NLTable[Concatenate],0),1),"")))</f>
        <v/>
      </c>
      <c r="K69" s="145" t="str">
        <f>IF(R69="Light",SUMIF(Table1323[Concatenate ECM and Part Number],Q69,Table1323[Lighting Rebate]),IF(R69="Mech",SUMIF(NLTable[Concatenate],Q69,NLTable[Total Rebate]),""))</f>
        <v/>
      </c>
      <c r="L69" s="144" t="str">
        <f>IF(R69="Light",INDEX(Table1323[LED lamp/luminaire retrofit part '#],MATCH(Q69,Table1323[Concatenate ECM and Part Number],0),1),IF(R69="Mech","N/A",""))</f>
        <v/>
      </c>
      <c r="M69" s="138"/>
      <c r="N69" s="138"/>
      <c r="O69" s="138"/>
      <c r="P69" s="160"/>
      <c r="Q69" s="160"/>
      <c r="R69" s="161" t="str">
        <f t="shared" si="0"/>
        <v/>
      </c>
    </row>
    <row r="70" spans="2:18" ht="40" customHeight="1" x14ac:dyDescent="0.35">
      <c r="B70" s="380" t="str">
        <f t="shared" si="1"/>
        <v/>
      </c>
      <c r="C70" s="750" t="str">
        <f>IF(R70="Light","EE-Lighting",IF(R70="Mech",INDEX(NLIndexTable[Type-Category],MATCH(Q70,NLIndexTable[Unique Name],0),1),""))</f>
        <v/>
      </c>
      <c r="D70" s="751"/>
      <c r="E70" s="750" t="str">
        <f>IF(R70="Light",INDEX(Table1323[Rebate Category],MATCH(Q70,Table1323[Concatenate ECM and Part Number],0),1),IF(R70="Mech",INDEX(NLTable[Energy Measure],MATCH(Q70,NLTable[Concatenate],0),1),""))</f>
        <v/>
      </c>
      <c r="F70" s="752"/>
      <c r="G70" s="752"/>
      <c r="H70" s="751"/>
      <c r="I70" s="232" t="str">
        <f>IF(R70="Light",SUMIF(Table1323[Concatenate ECM and Part Number],Q70,Table1323[Quantity of luminaires or lamps]),IF(C70="EE-Envelope",Mechanical!$BG$5,IF(R70="Mech",K70/VLOOKUP(Q70,NLIndexTable[[Unique Name]:[BC Hydro Rebate]],5,FALSE),"")))</f>
        <v/>
      </c>
      <c r="J70" s="144" t="str">
        <f>IF(R70="Light",TEXT((K70/I70),"$0")&amp;" "&amp;INDEX(Table1323[Incentive 
unit],MATCH(Q70,Table1323[Concatenate ECM and Part Number],0),1),IF(C70="EE-Envelope",TEXT((K70/I70),"$0")&amp;" per sqft",IF(R70="Mech",TEXT((K70/I70),"$0")&amp;" "&amp;INDEX(NLTable[Rebate Unit],MATCH(Q70,NLTable[Concatenate],0),1),"")))</f>
        <v/>
      </c>
      <c r="K70" s="145" t="str">
        <f>IF(R70="Light",SUMIF(Table1323[Concatenate ECM and Part Number],Q70,Table1323[Lighting Rebate]),IF(R70="Mech",SUMIF(NLTable[Concatenate],Q70,NLTable[Total Rebate]),""))</f>
        <v/>
      </c>
      <c r="L70" s="144" t="str">
        <f>IF(R70="Light",INDEX(Table1323[LED lamp/luminaire retrofit part '#],MATCH(Q70,Table1323[Concatenate ECM and Part Number],0),1),IF(R70="Mech","N/A",""))</f>
        <v/>
      </c>
      <c r="M70" s="138"/>
      <c r="N70" s="138"/>
      <c r="O70" s="138"/>
      <c r="P70" s="160"/>
      <c r="Q70" s="160"/>
      <c r="R70" s="161" t="str">
        <f t="shared" si="0"/>
        <v/>
      </c>
    </row>
    <row r="71" spans="2:18" ht="40" customHeight="1" x14ac:dyDescent="0.35">
      <c r="B71" s="380" t="str">
        <f t="shared" si="1"/>
        <v/>
      </c>
      <c r="C71" s="750" t="str">
        <f>IF(R71="Light","EE-Lighting",IF(R71="Mech",INDEX(NLIndexTable[Type-Category],MATCH(Q71,NLIndexTable[Unique Name],0),1),""))</f>
        <v/>
      </c>
      <c r="D71" s="751"/>
      <c r="E71" s="750" t="str">
        <f>IF(R71="Light",INDEX(Table1323[Rebate Category],MATCH(Q71,Table1323[Concatenate ECM and Part Number],0),1),IF(R71="Mech",INDEX(NLTable[Energy Measure],MATCH(Q71,NLTable[Concatenate],0),1),""))</f>
        <v/>
      </c>
      <c r="F71" s="752"/>
      <c r="G71" s="752"/>
      <c r="H71" s="751"/>
      <c r="I71" s="232" t="str">
        <f>IF(R71="Light",SUMIF(Table1323[Concatenate ECM and Part Number],Q71,Table1323[Quantity of luminaires or lamps]),IF(C71="EE-Envelope",Mechanical!$BG$5,IF(R71="Mech",K71/VLOOKUP(Q71,NLIndexTable[[Unique Name]:[BC Hydro Rebate]],5,FALSE),"")))</f>
        <v/>
      </c>
      <c r="J71" s="144" t="str">
        <f>IF(R71="Light",TEXT((K71/I71),"$0")&amp;" "&amp;INDEX(Table1323[Incentive 
unit],MATCH(Q71,Table1323[Concatenate ECM and Part Number],0),1),IF(C71="EE-Envelope",TEXT((K71/I71),"$0")&amp;" per sqft",IF(R71="Mech",TEXT((K71/I71),"$0")&amp;" "&amp;INDEX(NLTable[Rebate Unit],MATCH(Q71,NLTable[Concatenate],0),1),"")))</f>
        <v/>
      </c>
      <c r="K71" s="145" t="str">
        <f>IF(R71="Light",SUMIF(Table1323[Concatenate ECM and Part Number],Q71,Table1323[Lighting Rebate]),IF(R71="Mech",SUMIF(NLTable[Concatenate],Q71,NLTable[Total Rebate]),""))</f>
        <v/>
      </c>
      <c r="L71" s="144" t="str">
        <f>IF(R71="Light",INDEX(Table1323[LED lamp/luminaire retrofit part '#],MATCH(Q71,Table1323[Concatenate ECM and Part Number],0),1),IF(R71="Mech","N/A",""))</f>
        <v/>
      </c>
      <c r="M71" s="138"/>
      <c r="N71" s="138"/>
      <c r="O71" s="138"/>
      <c r="P71" s="160"/>
      <c r="Q71" s="160"/>
      <c r="R71" s="161" t="str">
        <f t="shared" si="0"/>
        <v/>
      </c>
    </row>
    <row r="72" spans="2:18" ht="40" customHeight="1" x14ac:dyDescent="0.35">
      <c r="B72" s="380" t="str">
        <f t="shared" si="1"/>
        <v/>
      </c>
      <c r="C72" s="750" t="str">
        <f>IF(R72="Light","EE-Lighting",IF(R72="Mech",INDEX(NLIndexTable[Type-Category],MATCH(Q72,NLIndexTable[Unique Name],0),1),""))</f>
        <v/>
      </c>
      <c r="D72" s="751"/>
      <c r="E72" s="750" t="str">
        <f>IF(R72="Light",INDEX(Table1323[Rebate Category],MATCH(Q72,Table1323[Concatenate ECM and Part Number],0),1),IF(R72="Mech",INDEX(NLTable[Energy Measure],MATCH(Q72,NLTable[Concatenate],0),1),""))</f>
        <v/>
      </c>
      <c r="F72" s="752"/>
      <c r="G72" s="752"/>
      <c r="H72" s="751"/>
      <c r="I72" s="232" t="str">
        <f>IF(R72="Light",SUMIF(Table1323[Concatenate ECM and Part Number],Q72,Table1323[Quantity of luminaires or lamps]),IF(C72="EE-Envelope",Mechanical!$BG$5,IF(R72="Mech",K72/VLOOKUP(Q72,NLIndexTable[[Unique Name]:[BC Hydro Rebate]],5,FALSE),"")))</f>
        <v/>
      </c>
      <c r="J72" s="144" t="str">
        <f>IF(R72="Light",TEXT((K72/I72),"$0")&amp;" "&amp;INDEX(Table1323[Incentive 
unit],MATCH(Q72,Table1323[Concatenate ECM and Part Number],0),1),IF(C72="EE-Envelope",TEXT((K72/I72),"$0")&amp;" per sqft",IF(R72="Mech",TEXT((K72/I72),"$0")&amp;" "&amp;INDEX(NLTable[Rebate Unit],MATCH(Q72,NLTable[Concatenate],0),1),"")))</f>
        <v/>
      </c>
      <c r="K72" s="145" t="str">
        <f>IF(R72="Light",SUMIF(Table1323[Concatenate ECM and Part Number],Q72,Table1323[Lighting Rebate]),IF(R72="Mech",SUMIF(NLTable[Concatenate],Q72,NLTable[Total Rebate]),""))</f>
        <v/>
      </c>
      <c r="L72" s="144" t="str">
        <f>IF(R72="Light",INDEX(Table1323[LED lamp/luminaire retrofit part '#],MATCH(Q72,Table1323[Concatenate ECM and Part Number],0),1),IF(R72="Mech","N/A",""))</f>
        <v/>
      </c>
      <c r="M72" s="138"/>
      <c r="N72" s="138"/>
      <c r="O72" s="138"/>
      <c r="P72" s="160"/>
      <c r="Q72" s="160"/>
      <c r="R72" s="161" t="str">
        <f t="shared" si="0"/>
        <v/>
      </c>
    </row>
    <row r="73" spans="2:18" ht="40" customHeight="1" x14ac:dyDescent="0.35">
      <c r="B73" s="380" t="str">
        <f t="shared" si="1"/>
        <v/>
      </c>
      <c r="C73" s="750" t="str">
        <f>IF(R73="Light","EE-Lighting",IF(R73="Mech",INDEX(NLIndexTable[Type-Category],MATCH(Q73,NLIndexTable[Unique Name],0),1),""))</f>
        <v/>
      </c>
      <c r="D73" s="751"/>
      <c r="E73" s="750" t="str">
        <f>IF(R73="Light",INDEX(Table1323[Rebate Category],MATCH(Q73,Table1323[Concatenate ECM and Part Number],0),1),IF(R73="Mech",INDEX(NLTable[Energy Measure],MATCH(Q73,NLTable[Concatenate],0),1),""))</f>
        <v/>
      </c>
      <c r="F73" s="752"/>
      <c r="G73" s="752"/>
      <c r="H73" s="751"/>
      <c r="I73" s="232" t="str">
        <f>IF(R73="Light",SUMIF(Table1323[Concatenate ECM and Part Number],Q73,Table1323[Quantity of luminaires or lamps]),IF(C73="EE-Envelope",Mechanical!$BG$5,IF(R73="Mech",K73/VLOOKUP(Q73,NLIndexTable[[Unique Name]:[BC Hydro Rebate]],5,FALSE),"")))</f>
        <v/>
      </c>
      <c r="J73" s="144" t="str">
        <f>IF(R73="Light",TEXT((K73/I73),"$0")&amp;" "&amp;INDEX(Table1323[Incentive 
unit],MATCH(Q73,Table1323[Concatenate ECM and Part Number],0),1),IF(C73="EE-Envelope",TEXT((K73/I73),"$0")&amp;" per sqft",IF(R73="Mech",TEXT((K73/I73),"$0")&amp;" "&amp;INDEX(NLTable[Rebate Unit],MATCH(Q73,NLTable[Concatenate],0),1),"")))</f>
        <v/>
      </c>
      <c r="K73" s="145" t="str">
        <f>IF(R73="Light",SUMIF(Table1323[Concatenate ECM and Part Number],Q73,Table1323[Lighting Rebate]),IF(R73="Mech",SUMIF(NLTable[Concatenate],Q73,NLTable[Total Rebate]),""))</f>
        <v/>
      </c>
      <c r="L73" s="144" t="str">
        <f>IF(R73="Light",INDEX(Table1323[LED lamp/luminaire retrofit part '#],MATCH(Q73,Table1323[Concatenate ECM and Part Number],0),1),IF(R73="Mech","N/A",""))</f>
        <v/>
      </c>
      <c r="M73" s="138"/>
      <c r="N73" s="138"/>
      <c r="O73" s="138"/>
      <c r="P73" s="160"/>
      <c r="Q73" s="160"/>
      <c r="R73" s="161" t="str">
        <f t="shared" si="0"/>
        <v/>
      </c>
    </row>
    <row r="74" spans="2:18" ht="40" customHeight="1" x14ac:dyDescent="0.35">
      <c r="B74" s="380" t="str">
        <f t="shared" si="1"/>
        <v/>
      </c>
      <c r="C74" s="750" t="str">
        <f>IF(R74="Light","EE-Lighting",IF(R74="Mech",INDEX(NLIndexTable[Type-Category],MATCH(Q74,NLIndexTable[Unique Name],0),1),""))</f>
        <v/>
      </c>
      <c r="D74" s="751"/>
      <c r="E74" s="750" t="str">
        <f>IF(R74="Light",INDEX(Table1323[Rebate Category],MATCH(Q74,Table1323[Concatenate ECM and Part Number],0),1),IF(R74="Mech",INDEX(NLTable[Energy Measure],MATCH(Q74,NLTable[Concatenate],0),1),""))</f>
        <v/>
      </c>
      <c r="F74" s="752"/>
      <c r="G74" s="752"/>
      <c r="H74" s="751"/>
      <c r="I74" s="232" t="str">
        <f>IF(R74="Light",SUMIF(Table1323[Concatenate ECM and Part Number],Q74,Table1323[Quantity of luminaires or lamps]),IF(C74="EE-Envelope",Mechanical!$BG$5,IF(R74="Mech",K74/VLOOKUP(Q74,NLIndexTable[[Unique Name]:[BC Hydro Rebate]],5,FALSE),"")))</f>
        <v/>
      </c>
      <c r="J74" s="144" t="str">
        <f>IF(R74="Light",TEXT((K74/I74),"$0")&amp;" "&amp;INDEX(Table1323[Incentive 
unit],MATCH(Q74,Table1323[Concatenate ECM and Part Number],0),1),IF(C74="EE-Envelope",TEXT((K74/I74),"$0")&amp;" per sqft",IF(R74="Mech",TEXT((K74/I74),"$0")&amp;" "&amp;INDEX(NLTable[Rebate Unit],MATCH(Q74,NLTable[Concatenate],0),1),"")))</f>
        <v/>
      </c>
      <c r="K74" s="145" t="str">
        <f>IF(R74="Light",SUMIF(Table1323[Concatenate ECM and Part Number],Q74,Table1323[Lighting Rebate]),IF(R74="Mech",SUMIF(NLTable[Concatenate],Q74,NLTable[Total Rebate]),""))</f>
        <v/>
      </c>
      <c r="L74" s="144" t="str">
        <f>IF(R74="Light",INDEX(Table1323[LED lamp/luminaire retrofit part '#],MATCH(Q74,Table1323[Concatenate ECM and Part Number],0),1),IF(R74="Mech","N/A",""))</f>
        <v/>
      </c>
      <c r="M74" s="138"/>
      <c r="N74" s="138"/>
      <c r="O74" s="138"/>
      <c r="P74" s="160"/>
      <c r="Q74" s="160"/>
      <c r="R74" s="161" t="str">
        <f t="shared" si="0"/>
        <v/>
      </c>
    </row>
    <row r="75" spans="2:18" ht="40" customHeight="1" x14ac:dyDescent="0.35">
      <c r="B75" s="380" t="str">
        <f t="shared" si="1"/>
        <v/>
      </c>
      <c r="C75" s="750" t="str">
        <f>IF(R75="Light","EE-Lighting",IF(R75="Mech",INDEX(NLIndexTable[Type-Category],MATCH(Q75,NLIndexTable[Unique Name],0),1),""))</f>
        <v/>
      </c>
      <c r="D75" s="751"/>
      <c r="E75" s="750" t="str">
        <f>IF(R75="Light",INDEX(Table1323[Rebate Category],MATCH(Q75,Table1323[Concatenate ECM and Part Number],0),1),IF(R75="Mech",INDEX(NLTable[Energy Measure],MATCH(Q75,NLTable[Concatenate],0),1),""))</f>
        <v/>
      </c>
      <c r="F75" s="752"/>
      <c r="G75" s="752"/>
      <c r="H75" s="751"/>
      <c r="I75" s="232" t="str">
        <f>IF(R75="Light",SUMIF(Table1323[Concatenate ECM and Part Number],Q75,Table1323[Quantity of luminaires or lamps]),IF(C75="EE-Envelope",Mechanical!$BG$5,IF(R75="Mech",K75/VLOOKUP(Q75,NLIndexTable[[Unique Name]:[BC Hydro Rebate]],5,FALSE),"")))</f>
        <v/>
      </c>
      <c r="J75" s="144" t="str">
        <f>IF(R75="Light",TEXT((K75/I75),"$0")&amp;" "&amp;INDEX(Table1323[Incentive 
unit],MATCH(Q75,Table1323[Concatenate ECM and Part Number],0),1),IF(C75="EE-Envelope",TEXT((K75/I75),"$0")&amp;" per sqft",IF(R75="Mech",TEXT((K75/I75),"$0")&amp;" "&amp;INDEX(NLTable[Rebate Unit],MATCH(Q75,NLTable[Concatenate],0),1),"")))</f>
        <v/>
      </c>
      <c r="K75" s="145" t="str">
        <f>IF(R75="Light",SUMIF(Table1323[Concatenate ECM and Part Number],Q75,Table1323[Lighting Rebate]),IF(R75="Mech",SUMIF(NLTable[Concatenate],Q75,NLTable[Total Rebate]),""))</f>
        <v/>
      </c>
      <c r="L75" s="144" t="str">
        <f>IF(R75="Light",INDEX(Table1323[LED lamp/luminaire retrofit part '#],MATCH(Q75,Table1323[Concatenate ECM and Part Number],0),1),IF(R75="Mech","N/A",""))</f>
        <v/>
      </c>
      <c r="M75" s="138"/>
      <c r="N75" s="138"/>
      <c r="O75" s="138"/>
      <c r="P75" s="160"/>
      <c r="Q75" s="160"/>
      <c r="R75" s="161" t="str">
        <f t="shared" si="0"/>
        <v/>
      </c>
    </row>
    <row r="76" spans="2:18" ht="40" customHeight="1" x14ac:dyDescent="0.35">
      <c r="B76" s="380" t="str">
        <f t="shared" si="1"/>
        <v/>
      </c>
      <c r="C76" s="750" t="str">
        <f>IF(R76="Light","EE-Lighting",IF(R76="Mech",INDEX(NLIndexTable[Type-Category],MATCH(Q76,NLIndexTable[Unique Name],0),1),""))</f>
        <v/>
      </c>
      <c r="D76" s="751"/>
      <c r="E76" s="750" t="str">
        <f>IF(R76="Light",INDEX(Table1323[Rebate Category],MATCH(Q76,Table1323[Concatenate ECM and Part Number],0),1),IF(R76="Mech",INDEX(NLTable[Energy Measure],MATCH(Q76,NLTable[Concatenate],0),1),""))</f>
        <v/>
      </c>
      <c r="F76" s="752"/>
      <c r="G76" s="752"/>
      <c r="H76" s="751"/>
      <c r="I76" s="232" t="str">
        <f>IF(R76="Light",SUMIF(Table1323[Concatenate ECM and Part Number],Q76,Table1323[Quantity of luminaires or lamps]),IF(C76="EE-Envelope",Mechanical!$BG$5,IF(R76="Mech",K76/VLOOKUP(Q76,NLIndexTable[[Unique Name]:[BC Hydro Rebate]],5,FALSE),"")))</f>
        <v/>
      </c>
      <c r="J76" s="144" t="str">
        <f>IF(R76="Light",TEXT((K76/I76),"$0")&amp;" "&amp;INDEX(Table1323[Incentive 
unit],MATCH(Q76,Table1323[Concatenate ECM and Part Number],0),1),IF(C76="EE-Envelope",TEXT((K76/I76),"$0")&amp;" per sqft",IF(R76="Mech",TEXT((K76/I76),"$0")&amp;" "&amp;INDEX(NLTable[Rebate Unit],MATCH(Q76,NLTable[Concatenate],0),1),"")))</f>
        <v/>
      </c>
      <c r="K76" s="145" t="str">
        <f>IF(R76="Light",SUMIF(Table1323[Concatenate ECM and Part Number],Q76,Table1323[Lighting Rebate]),IF(R76="Mech",SUMIF(NLTable[Concatenate],Q76,NLTable[Total Rebate]),""))</f>
        <v/>
      </c>
      <c r="L76" s="144" t="str">
        <f>IF(R76="Light",INDEX(Table1323[LED lamp/luminaire retrofit part '#],MATCH(Q76,Table1323[Concatenate ECM and Part Number],0),1),IF(R76="Mech","N/A",""))</f>
        <v/>
      </c>
      <c r="M76" s="138"/>
      <c r="N76" s="138"/>
      <c r="O76" s="138"/>
      <c r="P76" s="160"/>
      <c r="Q76" s="160"/>
      <c r="R76" s="161" t="str">
        <f t="shared" si="0"/>
        <v/>
      </c>
    </row>
    <row r="77" spans="2:18" ht="40" customHeight="1" x14ac:dyDescent="0.35">
      <c r="B77" s="380" t="str">
        <f t="shared" si="1"/>
        <v/>
      </c>
      <c r="C77" s="750" t="str">
        <f>IF(R77="Light","EE-Lighting",IF(R77="Mech",INDEX(NLIndexTable[Type-Category],MATCH(Q77,NLIndexTable[Unique Name],0),1),""))</f>
        <v/>
      </c>
      <c r="D77" s="751"/>
      <c r="E77" s="750" t="str">
        <f>IF(R77="Light",INDEX(Table1323[Rebate Category],MATCH(Q77,Table1323[Concatenate ECM and Part Number],0),1),IF(R77="Mech",INDEX(NLTable[Energy Measure],MATCH(Q77,NLTable[Concatenate],0),1),""))</f>
        <v/>
      </c>
      <c r="F77" s="752"/>
      <c r="G77" s="752"/>
      <c r="H77" s="751"/>
      <c r="I77" s="232" t="str">
        <f>IF(R77="Light",SUMIF(Table1323[Concatenate ECM and Part Number],Q77,Table1323[Quantity of luminaires or lamps]),IF(C77="EE-Envelope",Mechanical!$BG$5,IF(R77="Mech",K77/VLOOKUP(Q77,NLIndexTable[[Unique Name]:[BC Hydro Rebate]],5,FALSE),"")))</f>
        <v/>
      </c>
      <c r="J77" s="144" t="str">
        <f>IF(R77="Light",TEXT((K77/I77),"$0")&amp;" "&amp;INDEX(Table1323[Incentive 
unit],MATCH(Q77,Table1323[Concatenate ECM and Part Number],0),1),IF(C77="EE-Envelope",TEXT((K77/I77),"$0")&amp;" per sqft",IF(R77="Mech",TEXT((K77/I77),"$0")&amp;" "&amp;INDEX(NLTable[Rebate Unit],MATCH(Q77,NLTable[Concatenate],0),1),"")))</f>
        <v/>
      </c>
      <c r="K77" s="145" t="str">
        <f>IF(R77="Light",SUMIF(Table1323[Concatenate ECM and Part Number],Q77,Table1323[Lighting Rebate]),IF(R77="Mech",SUMIF(NLTable[Concatenate],Q77,NLTable[Total Rebate]),""))</f>
        <v/>
      </c>
      <c r="L77" s="144" t="str">
        <f>IF(R77="Light",INDEX(Table1323[LED lamp/luminaire retrofit part '#],MATCH(Q77,Table1323[Concatenate ECM and Part Number],0),1),IF(R77="Mech","N/A",""))</f>
        <v/>
      </c>
      <c r="M77" s="138"/>
      <c r="N77" s="138"/>
      <c r="O77" s="138"/>
      <c r="P77" s="160"/>
      <c r="Q77" s="160"/>
      <c r="R77" s="161" t="str">
        <f t="shared" si="0"/>
        <v/>
      </c>
    </row>
    <row r="78" spans="2:18" ht="40" customHeight="1" x14ac:dyDescent="0.35">
      <c r="B78" s="380" t="str">
        <f t="shared" si="1"/>
        <v/>
      </c>
      <c r="C78" s="750" t="str">
        <f>IF(R78="Light","EE-Lighting",IF(R78="Mech",INDEX(NLIndexTable[Type-Category],MATCH(Q78,NLIndexTable[Unique Name],0),1),""))</f>
        <v/>
      </c>
      <c r="D78" s="751"/>
      <c r="E78" s="750" t="str">
        <f>IF(R78="Light",INDEX(Table1323[Rebate Category],MATCH(Q78,Table1323[Concatenate ECM and Part Number],0),1),IF(R78="Mech",INDEX(NLTable[Energy Measure],MATCH(Q78,NLTable[Concatenate],0),1),""))</f>
        <v/>
      </c>
      <c r="F78" s="752"/>
      <c r="G78" s="752"/>
      <c r="H78" s="751"/>
      <c r="I78" s="232" t="str">
        <f>IF(R78="Light",SUMIF(Table1323[Concatenate ECM and Part Number],Q78,Table1323[Quantity of luminaires or lamps]),IF(C78="EE-Envelope",Mechanical!$BG$5,IF(R78="Mech",K78/VLOOKUP(Q78,NLIndexTable[[Unique Name]:[BC Hydro Rebate]],5,FALSE),"")))</f>
        <v/>
      </c>
      <c r="J78" s="144" t="str">
        <f>IF(R78="Light",TEXT((K78/I78),"$0")&amp;" "&amp;INDEX(Table1323[Incentive 
unit],MATCH(Q78,Table1323[Concatenate ECM and Part Number],0),1),IF(C78="EE-Envelope",TEXT((K78/I78),"$0")&amp;" per sqft",IF(R78="Mech",TEXT((K78/I78),"$0")&amp;" "&amp;INDEX(NLTable[Rebate Unit],MATCH(Q78,NLTable[Concatenate],0),1),"")))</f>
        <v/>
      </c>
      <c r="K78" s="145" t="str">
        <f>IF(R78="Light",SUMIF(Table1323[Concatenate ECM and Part Number],Q78,Table1323[Lighting Rebate]),IF(R78="Mech",SUMIF(NLTable[Concatenate],Q78,NLTable[Total Rebate]),""))</f>
        <v/>
      </c>
      <c r="L78" s="144" t="str">
        <f>IF(R78="Light",INDEX(Table1323[LED lamp/luminaire retrofit part '#],MATCH(Q78,Table1323[Concatenate ECM and Part Number],0),1),IF(R78="Mech","N/A",""))</f>
        <v/>
      </c>
      <c r="M78" s="138"/>
      <c r="N78" s="138"/>
      <c r="O78" s="138"/>
      <c r="P78" s="160"/>
      <c r="Q78" s="160"/>
      <c r="R78" s="161" t="str">
        <f t="shared" si="0"/>
        <v/>
      </c>
    </row>
    <row r="79" spans="2:18" ht="40" customHeight="1" x14ac:dyDescent="0.35">
      <c r="B79" s="380" t="str">
        <f t="shared" si="1"/>
        <v/>
      </c>
      <c r="C79" s="750" t="str">
        <f>IF(R79="Light","EE-Lighting",IF(R79="Mech",INDEX(NLIndexTable[Type-Category],MATCH(Q79,NLIndexTable[Unique Name],0),1),""))</f>
        <v/>
      </c>
      <c r="D79" s="751"/>
      <c r="E79" s="750" t="str">
        <f>IF(R79="Light",INDEX(Table1323[Rebate Category],MATCH(Q79,Table1323[Concatenate ECM and Part Number],0),1),IF(R79="Mech",INDEX(NLTable[Energy Measure],MATCH(Q79,NLTable[Concatenate],0),1),""))</f>
        <v/>
      </c>
      <c r="F79" s="752"/>
      <c r="G79" s="752"/>
      <c r="H79" s="751"/>
      <c r="I79" s="232" t="str">
        <f>IF(R79="Light",SUMIF(Table1323[Concatenate ECM and Part Number],Q79,Table1323[Quantity of luminaires or lamps]),IF(C79="EE-Envelope",Mechanical!$BG$5,IF(R79="Mech",K79/VLOOKUP(Q79,NLIndexTable[[Unique Name]:[BC Hydro Rebate]],5,FALSE),"")))</f>
        <v/>
      </c>
      <c r="J79" s="144" t="str">
        <f>IF(R79="Light",TEXT((K79/I79),"$0")&amp;" "&amp;INDEX(Table1323[Incentive 
unit],MATCH(Q79,Table1323[Concatenate ECM and Part Number],0),1),IF(C79="EE-Envelope",TEXT((K79/I79),"$0")&amp;" per sqft",IF(R79="Mech",TEXT((K79/I79),"$0")&amp;" "&amp;INDEX(NLTable[Rebate Unit],MATCH(Q79,NLTable[Concatenate],0),1),"")))</f>
        <v/>
      </c>
      <c r="K79" s="145" t="str">
        <f>IF(R79="Light",SUMIF(Table1323[Concatenate ECM and Part Number],Q79,Table1323[Lighting Rebate]),IF(R79="Mech",SUMIF(NLTable[Concatenate],Q79,NLTable[Total Rebate]),""))</f>
        <v/>
      </c>
      <c r="L79" s="144" t="str">
        <f>IF(R79="Light",INDEX(Table1323[LED lamp/luminaire retrofit part '#],MATCH(Q79,Table1323[Concatenate ECM and Part Number],0),1),IF(R79="Mech","N/A",""))</f>
        <v/>
      </c>
      <c r="M79" s="138"/>
      <c r="N79" s="138"/>
      <c r="O79" s="138"/>
      <c r="P79" s="160"/>
      <c r="Q79" s="160"/>
      <c r="R79" s="161" t="str">
        <f t="shared" si="0"/>
        <v/>
      </c>
    </row>
    <row r="80" spans="2:18" ht="40" customHeight="1" x14ac:dyDescent="0.35">
      <c r="B80" s="380" t="str">
        <f t="shared" si="1"/>
        <v/>
      </c>
      <c r="C80" s="750" t="str">
        <f>IF(R80="Light","EE-Lighting",IF(R80="Mech",INDEX(NLIndexTable[Type-Category],MATCH(Q80,NLIndexTable[Unique Name],0),1),""))</f>
        <v/>
      </c>
      <c r="D80" s="751"/>
      <c r="E80" s="750" t="str">
        <f>IF(R80="Light",INDEX(Table1323[Rebate Category],MATCH(Q80,Table1323[Concatenate ECM and Part Number],0),1),IF(R80="Mech",INDEX(NLTable[Energy Measure],MATCH(Q80,NLTable[Concatenate],0),1),""))</f>
        <v/>
      </c>
      <c r="F80" s="752"/>
      <c r="G80" s="752"/>
      <c r="H80" s="751"/>
      <c r="I80" s="232" t="str">
        <f>IF(R80="Light",SUMIF(Table1323[Concatenate ECM and Part Number],Q80,Table1323[Quantity of luminaires or lamps]),IF(C80="EE-Envelope",Mechanical!$BG$5,IF(R80="Mech",K80/VLOOKUP(Q80,NLIndexTable[[Unique Name]:[BC Hydro Rebate]],5,FALSE),"")))</f>
        <v/>
      </c>
      <c r="J80" s="144" t="str">
        <f>IF(R80="Light",TEXT((K80/I80),"$0")&amp;" "&amp;INDEX(Table1323[Incentive 
unit],MATCH(Q80,Table1323[Concatenate ECM and Part Number],0),1),IF(C80="EE-Envelope",TEXT((K80/I80),"$0")&amp;" per sqft",IF(R80="Mech",TEXT((K80/I80),"$0")&amp;" "&amp;INDEX(NLTable[Rebate Unit],MATCH(Q80,NLTable[Concatenate],0),1),"")))</f>
        <v/>
      </c>
      <c r="K80" s="145" t="str">
        <f>IF(R80="Light",SUMIF(Table1323[Concatenate ECM and Part Number],Q80,Table1323[Lighting Rebate]),IF(R80="Mech",SUMIF(NLTable[Concatenate],Q80,NLTable[Total Rebate]),""))</f>
        <v/>
      </c>
      <c r="L80" s="144" t="str">
        <f>IF(R80="Light",INDEX(Table1323[LED lamp/luminaire retrofit part '#],MATCH(Q80,Table1323[Concatenate ECM and Part Number],0),1),IF(R80="Mech","N/A",""))</f>
        <v/>
      </c>
      <c r="M80" s="138"/>
      <c r="N80" s="138"/>
      <c r="O80" s="138"/>
      <c r="P80" s="160"/>
      <c r="Q80" s="160"/>
      <c r="R80" s="161" t="str">
        <f t="shared" si="0"/>
        <v/>
      </c>
    </row>
    <row r="81" spans="2:18" ht="40" customHeight="1" x14ac:dyDescent="0.35">
      <c r="B81" s="380" t="str">
        <f t="shared" si="1"/>
        <v/>
      </c>
      <c r="C81" s="750" t="str">
        <f>IF(R81="Light","EE-Lighting",IF(R81="Mech",INDEX(NLIndexTable[Type-Category],MATCH(Q81,NLIndexTable[Unique Name],0),1),""))</f>
        <v/>
      </c>
      <c r="D81" s="751"/>
      <c r="E81" s="750" t="str">
        <f>IF(R81="Light",INDEX(Table1323[Rebate Category],MATCH(Q81,Table1323[Concatenate ECM and Part Number],0),1),IF(R81="Mech",INDEX(NLTable[Energy Measure],MATCH(Q81,NLTable[Concatenate],0),1),""))</f>
        <v/>
      </c>
      <c r="F81" s="752"/>
      <c r="G81" s="752"/>
      <c r="H81" s="751"/>
      <c r="I81" s="232" t="str">
        <f>IF(R81="Light",SUMIF(Table1323[Concatenate ECM and Part Number],Q81,Table1323[Quantity of luminaires or lamps]),IF(C81="EE-Envelope",Mechanical!$BG$5,IF(R81="Mech",K81/VLOOKUP(Q81,NLIndexTable[[Unique Name]:[BC Hydro Rebate]],5,FALSE),"")))</f>
        <v/>
      </c>
      <c r="J81" s="144" t="str">
        <f>IF(R81="Light",TEXT((K81/I81),"$0")&amp;" "&amp;INDEX(Table1323[Incentive 
unit],MATCH(Q81,Table1323[Concatenate ECM and Part Number],0),1),IF(C81="EE-Envelope",TEXT((K81/I81),"$0")&amp;" per sqft",IF(R81="Mech",TEXT((K81/I81),"$0")&amp;" "&amp;INDEX(NLTable[Rebate Unit],MATCH(Q81,NLTable[Concatenate],0),1),"")))</f>
        <v/>
      </c>
      <c r="K81" s="145" t="str">
        <f>IF(R81="Light",SUMIF(Table1323[Concatenate ECM and Part Number],Q81,Table1323[Lighting Rebate]),IF(R81="Mech",SUMIF(NLTable[Concatenate],Q81,NLTable[Total Rebate]),""))</f>
        <v/>
      </c>
      <c r="L81" s="144" t="str">
        <f>IF(R81="Light",INDEX(Table1323[LED lamp/luminaire retrofit part '#],MATCH(Q81,Table1323[Concatenate ECM and Part Number],0),1),IF(R81="Mech","N/A",""))</f>
        <v/>
      </c>
      <c r="M81" s="138"/>
      <c r="N81" s="138"/>
      <c r="O81" s="138"/>
      <c r="P81" s="160"/>
      <c r="Q81" s="160"/>
      <c r="R81" s="161" t="str">
        <f t="shared" si="0"/>
        <v/>
      </c>
    </row>
    <row r="82" spans="2:18" ht="40" customHeight="1" x14ac:dyDescent="0.35">
      <c r="B82" s="380" t="str">
        <f t="shared" si="1"/>
        <v/>
      </c>
      <c r="C82" s="750" t="str">
        <f>IF(R82="Light","EE-Lighting",IF(R82="Mech",INDEX(NLIndexTable[Type-Category],MATCH(Q82,NLIndexTable[Unique Name],0),1),""))</f>
        <v/>
      </c>
      <c r="D82" s="751"/>
      <c r="E82" s="750" t="str">
        <f>IF(R82="Light",INDEX(Table1323[Rebate Category],MATCH(Q82,Table1323[Concatenate ECM and Part Number],0),1),IF(R82="Mech",INDEX(NLTable[Energy Measure],MATCH(Q82,NLTable[Concatenate],0),1),""))</f>
        <v/>
      </c>
      <c r="F82" s="752"/>
      <c r="G82" s="752"/>
      <c r="H82" s="751"/>
      <c r="I82" s="232" t="str">
        <f>IF(R82="Light",SUMIF(Table1323[Concatenate ECM and Part Number],Q82,Table1323[Quantity of luminaires or lamps]),IF(C82="EE-Envelope",Mechanical!$BG$5,IF(R82="Mech",K82/VLOOKUP(Q82,NLIndexTable[[Unique Name]:[BC Hydro Rebate]],5,FALSE),"")))</f>
        <v/>
      </c>
      <c r="J82" s="144" t="str">
        <f>IF(R82="Light",TEXT((K82/I82),"$0")&amp;" "&amp;INDEX(Table1323[Incentive 
unit],MATCH(Q82,Table1323[Concatenate ECM and Part Number],0),1),IF(C82="EE-Envelope",TEXT((K82/I82),"$0")&amp;" per sqft",IF(R82="Mech",TEXT((K82/I82),"$0")&amp;" "&amp;INDEX(NLTable[Rebate Unit],MATCH(Q82,NLTable[Concatenate],0),1),"")))</f>
        <v/>
      </c>
      <c r="K82" s="145" t="str">
        <f>IF(R82="Light",SUMIF(Table1323[Concatenate ECM and Part Number],Q82,Table1323[Lighting Rebate]),IF(R82="Mech",SUMIF(NLTable[Concatenate],Q82,NLTable[Total Rebate]),""))</f>
        <v/>
      </c>
      <c r="L82" s="144" t="str">
        <f>IF(R82="Light",INDEX(Table1323[LED lamp/luminaire retrofit part '#],MATCH(Q82,Table1323[Concatenate ECM and Part Number],0),1),IF(R82="Mech","N/A",""))</f>
        <v/>
      </c>
      <c r="M82" s="138"/>
      <c r="N82" s="138"/>
      <c r="O82" s="138"/>
      <c r="P82" s="160"/>
      <c r="Q82" s="160"/>
      <c r="R82" s="161" t="str">
        <f t="shared" si="0"/>
        <v/>
      </c>
    </row>
    <row r="83" spans="2:18" ht="40" customHeight="1" x14ac:dyDescent="0.35">
      <c r="B83" s="380" t="str">
        <f t="shared" si="1"/>
        <v/>
      </c>
      <c r="C83" s="750" t="str">
        <f>IF(R83="Light","EE-Lighting",IF(R83="Mech",INDEX(NLIndexTable[Type-Category],MATCH(Q83,NLIndexTable[Unique Name],0),1),""))</f>
        <v/>
      </c>
      <c r="D83" s="751"/>
      <c r="E83" s="750" t="str">
        <f>IF(R83="Light",INDEX(Table1323[Rebate Category],MATCH(Q83,Table1323[Concatenate ECM and Part Number],0),1),IF(R83="Mech",INDEX(NLTable[Energy Measure],MATCH(Q83,NLTable[Concatenate],0),1),""))</f>
        <v/>
      </c>
      <c r="F83" s="752"/>
      <c r="G83" s="752"/>
      <c r="H83" s="751"/>
      <c r="I83" s="232" t="str">
        <f>IF(R83="Light",SUMIF(Table1323[Concatenate ECM and Part Number],Q83,Table1323[Quantity of luminaires or lamps]),IF(C83="EE-Envelope",Mechanical!$BG$5,IF(R83="Mech",K83/VLOOKUP(Q83,NLIndexTable[[Unique Name]:[BC Hydro Rebate]],5,FALSE),"")))</f>
        <v/>
      </c>
      <c r="J83" s="144" t="str">
        <f>IF(R83="Light",TEXT((K83/I83),"$0")&amp;" "&amp;INDEX(Table1323[Incentive 
unit],MATCH(Q83,Table1323[Concatenate ECM and Part Number],0),1),IF(C83="EE-Envelope",TEXT((K83/I83),"$0")&amp;" per sqft",IF(R83="Mech",TEXT((K83/I83),"$0")&amp;" "&amp;INDEX(NLTable[Rebate Unit],MATCH(Q83,NLTable[Concatenate],0),1),"")))</f>
        <v/>
      </c>
      <c r="K83" s="145" t="str">
        <f>IF(R83="Light",SUMIF(Table1323[Concatenate ECM and Part Number],Q83,Table1323[Lighting Rebate]),IF(R83="Mech",SUMIF(NLTable[Concatenate],Q83,NLTable[Total Rebate]),""))</f>
        <v/>
      </c>
      <c r="L83" s="144" t="str">
        <f>IF(R83="Light",INDEX(Table1323[LED lamp/luminaire retrofit part '#],MATCH(Q83,Table1323[Concatenate ECM and Part Number],0),1),IF(R83="Mech","N/A",""))</f>
        <v/>
      </c>
      <c r="M83" s="138"/>
      <c r="N83" s="138"/>
      <c r="O83" s="138"/>
      <c r="P83" s="160"/>
      <c r="Q83" s="160"/>
      <c r="R83" s="161" t="str">
        <f t="shared" si="0"/>
        <v/>
      </c>
    </row>
    <row r="84" spans="2:18" ht="40" customHeight="1" x14ac:dyDescent="0.35">
      <c r="B84" s="380" t="str">
        <f t="shared" si="1"/>
        <v/>
      </c>
      <c r="C84" s="750" t="str">
        <f>IF(R84="Light","EE-Lighting",IF(R84="Mech",INDEX(NLIndexTable[Type-Category],MATCH(Q84,NLIndexTable[Unique Name],0),1),""))</f>
        <v/>
      </c>
      <c r="D84" s="751"/>
      <c r="E84" s="750" t="str">
        <f>IF(R84="Light",INDEX(Table1323[Rebate Category],MATCH(Q84,Table1323[Concatenate ECM and Part Number],0),1),IF(R84="Mech",INDEX(NLTable[Energy Measure],MATCH(Q84,NLTable[Concatenate],0),1),""))</f>
        <v/>
      </c>
      <c r="F84" s="752"/>
      <c r="G84" s="752"/>
      <c r="H84" s="751"/>
      <c r="I84" s="232" t="str">
        <f>IF(R84="Light",SUMIF(Table1323[Concatenate ECM and Part Number],Q84,Table1323[Quantity of luminaires or lamps]),IF(C84="EE-Envelope",Mechanical!$BG$5,IF(R84="Mech",K84/VLOOKUP(Q84,NLIndexTable[[Unique Name]:[BC Hydro Rebate]],5,FALSE),"")))</f>
        <v/>
      </c>
      <c r="J84" s="144" t="str">
        <f>IF(R84="Light",TEXT((K84/I84),"$0")&amp;" "&amp;INDEX(Table1323[Incentive 
unit],MATCH(Q84,Table1323[Concatenate ECM and Part Number],0),1),IF(C84="EE-Envelope",TEXT((K84/I84),"$0")&amp;" per sqft",IF(R84="Mech",TEXT((K84/I84),"$0")&amp;" "&amp;INDEX(NLTable[Rebate Unit],MATCH(Q84,NLTable[Concatenate],0),1),"")))</f>
        <v/>
      </c>
      <c r="K84" s="145" t="str">
        <f>IF(R84="Light",SUMIF(Table1323[Concatenate ECM and Part Number],Q84,Table1323[Lighting Rebate]),IF(R84="Mech",SUMIF(NLTable[Concatenate],Q84,NLTable[Total Rebate]),""))</f>
        <v/>
      </c>
      <c r="L84" s="144" t="str">
        <f>IF(R84="Light",INDEX(Table1323[LED lamp/luminaire retrofit part '#],MATCH(Q84,Table1323[Concatenate ECM and Part Number],0),1),IF(R84="Mech","N/A",""))</f>
        <v/>
      </c>
      <c r="M84" s="138"/>
      <c r="N84" s="138"/>
      <c r="O84" s="138"/>
      <c r="P84" s="160"/>
      <c r="Q84" s="160"/>
      <c r="R84" s="161" t="str">
        <f t="shared" si="0"/>
        <v/>
      </c>
    </row>
    <row r="85" spans="2:18" ht="40" customHeight="1" x14ac:dyDescent="0.35">
      <c r="B85" s="380" t="str">
        <f t="shared" si="1"/>
        <v/>
      </c>
      <c r="C85" s="750" t="str">
        <f>IF(R85="Light","EE-Lighting",IF(R85="Mech",INDEX(NLIndexTable[Type-Category],MATCH(Q85,NLIndexTable[Unique Name],0),1),""))</f>
        <v/>
      </c>
      <c r="D85" s="751"/>
      <c r="E85" s="750" t="str">
        <f>IF(R85="Light",INDEX(Table1323[Rebate Category],MATCH(Q85,Table1323[Concatenate ECM and Part Number],0),1),IF(R85="Mech",INDEX(NLTable[Energy Measure],MATCH(Q85,NLTable[Concatenate],0),1),""))</f>
        <v/>
      </c>
      <c r="F85" s="752"/>
      <c r="G85" s="752"/>
      <c r="H85" s="751"/>
      <c r="I85" s="232" t="str">
        <f>IF(R85="Light",SUMIF(Table1323[Concatenate ECM and Part Number],Q85,Table1323[Quantity of luminaires or lamps]),IF(C85="EE-Envelope",Mechanical!$BG$5,IF(R85="Mech",K85/VLOOKUP(Q85,NLIndexTable[[Unique Name]:[BC Hydro Rebate]],5,FALSE),"")))</f>
        <v/>
      </c>
      <c r="J85" s="144" t="str">
        <f>IF(R85="Light",TEXT((K85/I85),"$0")&amp;" "&amp;INDEX(Table1323[Incentive 
unit],MATCH(Q85,Table1323[Concatenate ECM and Part Number],0),1),IF(C85="EE-Envelope",TEXT((K85/I85),"$0")&amp;" per sqft",IF(R85="Mech",TEXT((K85/I85),"$0")&amp;" "&amp;INDEX(NLTable[Rebate Unit],MATCH(Q85,NLTable[Concatenate],0),1),"")))</f>
        <v/>
      </c>
      <c r="K85" s="145" t="str">
        <f>IF(R85="Light",SUMIF(Table1323[Concatenate ECM and Part Number],Q85,Table1323[Lighting Rebate]),IF(R85="Mech",SUMIF(NLTable[Concatenate],Q85,NLTable[Total Rebate]),""))</f>
        <v/>
      </c>
      <c r="L85" s="144" t="str">
        <f>IF(R85="Light",INDEX(Table1323[LED lamp/luminaire retrofit part '#],MATCH(Q85,Table1323[Concatenate ECM and Part Number],0),1),IF(R85="Mech","N/A",""))</f>
        <v/>
      </c>
      <c r="M85" s="138"/>
      <c r="N85" s="138"/>
      <c r="O85" s="138"/>
      <c r="P85" s="160"/>
      <c r="Q85" s="160"/>
      <c r="R85" s="161" t="str">
        <f t="shared" si="0"/>
        <v/>
      </c>
    </row>
  </sheetData>
  <sheetProtection algorithmName="SHA-512" hashValue="gdY95bNDzly/V/e+ge8Ckxg0QRKsxT4IPuaVrakZPsg0T0bKLeR3UTaO3Q+Vf0MBtgoQqDGK+8pHs7CiUph/Gg==" saltValue="ALaCSWyVMC8aby3lhu/uGw==" spinCount="100000" sheet="1" objects="1" scenarios="1"/>
  <dataConsolidate/>
  <mergeCells count="81">
    <mergeCell ref="B9:O9"/>
    <mergeCell ref="C15:H15"/>
    <mergeCell ref="C18:E18"/>
    <mergeCell ref="C12:M12"/>
    <mergeCell ref="K15:M15"/>
    <mergeCell ref="K18:M18"/>
    <mergeCell ref="C40:I40"/>
    <mergeCell ref="K20:M20"/>
    <mergeCell ref="K22:M22"/>
    <mergeCell ref="K40:M40"/>
    <mergeCell ref="K43:M43"/>
    <mergeCell ref="C43:I43"/>
    <mergeCell ref="B24:O24"/>
    <mergeCell ref="C26:O26"/>
    <mergeCell ref="C34:E34"/>
    <mergeCell ref="C37:K37"/>
    <mergeCell ref="C20:E20"/>
    <mergeCell ref="C22:E22"/>
    <mergeCell ref="K46:M46"/>
    <mergeCell ref="B54:O54"/>
    <mergeCell ref="E62:H62"/>
    <mergeCell ref="E63:H63"/>
    <mergeCell ref="E64:H64"/>
    <mergeCell ref="C59:D59"/>
    <mergeCell ref="E59:H59"/>
    <mergeCell ref="C60:D60"/>
    <mergeCell ref="E60:H60"/>
    <mergeCell ref="B57:H57"/>
    <mergeCell ref="B56:H56"/>
    <mergeCell ref="J56:K56"/>
    <mergeCell ref="J57:K57"/>
    <mergeCell ref="C46:I46"/>
    <mergeCell ref="E65:H65"/>
    <mergeCell ref="C61:D61"/>
    <mergeCell ref="C62:D62"/>
    <mergeCell ref="C63:D63"/>
    <mergeCell ref="C64:D64"/>
    <mergeCell ref="C65:D65"/>
    <mergeCell ref="E61:H61"/>
    <mergeCell ref="E68:H68"/>
    <mergeCell ref="E69:H69"/>
    <mergeCell ref="E70:H70"/>
    <mergeCell ref="E66:H66"/>
    <mergeCell ref="C66:D66"/>
    <mergeCell ref="C67:D67"/>
    <mergeCell ref="C68:D68"/>
    <mergeCell ref="C69:D69"/>
    <mergeCell ref="C70:D70"/>
    <mergeCell ref="E67:H67"/>
    <mergeCell ref="C77:D77"/>
    <mergeCell ref="E77:H77"/>
    <mergeCell ref="C78:D78"/>
    <mergeCell ref="E78:H78"/>
    <mergeCell ref="C71:D71"/>
    <mergeCell ref="E71:H71"/>
    <mergeCell ref="C72:D72"/>
    <mergeCell ref="E72:H72"/>
    <mergeCell ref="C74:D74"/>
    <mergeCell ref="E74:H74"/>
    <mergeCell ref="C75:D75"/>
    <mergeCell ref="E75:H75"/>
    <mergeCell ref="C76:D76"/>
    <mergeCell ref="E76:H76"/>
    <mergeCell ref="C73:D73"/>
    <mergeCell ref="E73:H73"/>
    <mergeCell ref="E6:H6"/>
    <mergeCell ref="C85:D85"/>
    <mergeCell ref="E85:H85"/>
    <mergeCell ref="B25:O25"/>
    <mergeCell ref="C83:D83"/>
    <mergeCell ref="E83:H83"/>
    <mergeCell ref="C84:D84"/>
    <mergeCell ref="E84:H84"/>
    <mergeCell ref="C81:D81"/>
    <mergeCell ref="E81:H81"/>
    <mergeCell ref="C82:D82"/>
    <mergeCell ref="E82:H82"/>
    <mergeCell ref="C79:D79"/>
    <mergeCell ref="E79:H79"/>
    <mergeCell ref="C80:D80"/>
    <mergeCell ref="E80:H80"/>
  </mergeCells>
  <dataValidations count="2">
    <dataValidation type="list" operator="greaterThan" allowBlank="1" showInputMessage="1" showErrorMessage="1" sqref="B16:C16" xr:uid="{00000000-0002-0000-0800-000001000000}">
      <formula1>"0"</formula1>
    </dataValidation>
    <dataValidation type="list" allowBlank="1" showInputMessage="1" showErrorMessage="1" sqref="P57:P85" xr:uid="{6D31F030-FF6F-48A7-954E-7D64157FD730}">
      <formula1>"Yes, No"</formula1>
    </dataValidation>
  </dataValidations>
  <pageMargins left="0.25" right="0.25" top="0.75" bottom="0.75" header="0.15" footer="0.3"/>
  <pageSetup scale="83" fitToHeight="0" orientation="portrait" r:id="rId1"/>
  <headerFooter>
    <oddHeader>&amp;L&amp;"Arial,Bold"&amp;16&amp;K00B0F0Schedule B&amp;"Arial,Regular"&amp;12&amp;K01+000
&amp;14&amp;K004F6CBC Hydro incentive project invoices and implementation support documents</oddHeader>
    <oddFooter>&amp;C&amp;P of &amp;N&amp;R&amp;G</oddFooter>
  </headerFooter>
  <rowBreaks count="1" manualBreakCount="1">
    <brk id="47" max="16383" man="1"/>
  </rowBreaks>
  <colBreaks count="1" manualBreakCount="1">
    <brk id="4"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3562" r:id="rId5" name="Check Box 10">
              <controlPr defaultSize="0" autoFill="0" autoLine="0" autoPict="0">
                <anchor moveWithCells="1">
                  <from>
                    <xdr:col>1</xdr:col>
                    <xdr:colOff>0</xdr:colOff>
                    <xdr:row>25</xdr:row>
                    <xdr:rowOff>0</xdr:rowOff>
                  </from>
                  <to>
                    <xdr:col>2</xdr:col>
                    <xdr:colOff>107950</xdr:colOff>
                    <xdr:row>25</xdr:row>
                    <xdr:rowOff>393700</xdr:rowOff>
                  </to>
                </anchor>
              </controlPr>
            </control>
          </mc:Choice>
        </mc:AlternateContent>
        <mc:AlternateContent xmlns:mc="http://schemas.openxmlformats.org/markup-compatibility/2006">
          <mc:Choice Requires="x14">
            <control shapeId="23564" r:id="rId6" name="Check Box 12">
              <controlPr defaultSize="0" autoFill="0" autoLine="0" autoPict="0">
                <anchor moveWithCells="1">
                  <from>
                    <xdr:col>12</xdr:col>
                    <xdr:colOff>279400</xdr:colOff>
                    <xdr:row>60</xdr:row>
                    <xdr:rowOff>69850</xdr:rowOff>
                  </from>
                  <to>
                    <xdr:col>12</xdr:col>
                    <xdr:colOff>584200</xdr:colOff>
                    <xdr:row>60</xdr:row>
                    <xdr:rowOff>457200</xdr:rowOff>
                  </to>
                </anchor>
              </controlPr>
            </control>
          </mc:Choice>
        </mc:AlternateContent>
        <mc:AlternateContent xmlns:mc="http://schemas.openxmlformats.org/markup-compatibility/2006">
          <mc:Choice Requires="x14">
            <control shapeId="23565" r:id="rId7" name="Check Box 13">
              <controlPr defaultSize="0" autoFill="0" autoLine="0" autoPict="0">
                <anchor moveWithCells="1">
                  <from>
                    <xdr:col>13</xdr:col>
                    <xdr:colOff>304800</xdr:colOff>
                    <xdr:row>60</xdr:row>
                    <xdr:rowOff>69850</xdr:rowOff>
                  </from>
                  <to>
                    <xdr:col>13</xdr:col>
                    <xdr:colOff>603250</xdr:colOff>
                    <xdr:row>60</xdr:row>
                    <xdr:rowOff>457200</xdr:rowOff>
                  </to>
                </anchor>
              </controlPr>
            </control>
          </mc:Choice>
        </mc:AlternateContent>
        <mc:AlternateContent xmlns:mc="http://schemas.openxmlformats.org/markup-compatibility/2006">
          <mc:Choice Requires="x14">
            <control shapeId="23566" r:id="rId8" name="Check Box 14">
              <controlPr defaultSize="0" autoFill="0" autoLine="0" autoPict="0">
                <anchor moveWithCells="1">
                  <from>
                    <xdr:col>14</xdr:col>
                    <xdr:colOff>298450</xdr:colOff>
                    <xdr:row>60</xdr:row>
                    <xdr:rowOff>69850</xdr:rowOff>
                  </from>
                  <to>
                    <xdr:col>14</xdr:col>
                    <xdr:colOff>603250</xdr:colOff>
                    <xdr:row>60</xdr:row>
                    <xdr:rowOff>450850</xdr:rowOff>
                  </to>
                </anchor>
              </controlPr>
            </control>
          </mc:Choice>
        </mc:AlternateContent>
        <mc:AlternateContent xmlns:mc="http://schemas.openxmlformats.org/markup-compatibility/2006">
          <mc:Choice Requires="x14">
            <control shapeId="23567" r:id="rId9" name="Check Box 15">
              <controlPr defaultSize="0" autoFill="0" autoLine="0" autoPict="0">
                <anchor moveWithCells="1">
                  <from>
                    <xdr:col>12</xdr:col>
                    <xdr:colOff>279400</xdr:colOff>
                    <xdr:row>61</xdr:row>
                    <xdr:rowOff>69850</xdr:rowOff>
                  </from>
                  <to>
                    <xdr:col>12</xdr:col>
                    <xdr:colOff>584200</xdr:colOff>
                    <xdr:row>61</xdr:row>
                    <xdr:rowOff>457200</xdr:rowOff>
                  </to>
                </anchor>
              </controlPr>
            </control>
          </mc:Choice>
        </mc:AlternateContent>
        <mc:AlternateContent xmlns:mc="http://schemas.openxmlformats.org/markup-compatibility/2006">
          <mc:Choice Requires="x14">
            <control shapeId="23568" r:id="rId10" name="Check Box 16">
              <controlPr defaultSize="0" autoFill="0" autoLine="0" autoPict="0">
                <anchor moveWithCells="1">
                  <from>
                    <xdr:col>13</xdr:col>
                    <xdr:colOff>304800</xdr:colOff>
                    <xdr:row>61</xdr:row>
                    <xdr:rowOff>69850</xdr:rowOff>
                  </from>
                  <to>
                    <xdr:col>13</xdr:col>
                    <xdr:colOff>603250</xdr:colOff>
                    <xdr:row>61</xdr:row>
                    <xdr:rowOff>457200</xdr:rowOff>
                  </to>
                </anchor>
              </controlPr>
            </control>
          </mc:Choice>
        </mc:AlternateContent>
        <mc:AlternateContent xmlns:mc="http://schemas.openxmlformats.org/markup-compatibility/2006">
          <mc:Choice Requires="x14">
            <control shapeId="23569" r:id="rId11" name="Check Box 17">
              <controlPr defaultSize="0" autoFill="0" autoLine="0" autoPict="0">
                <anchor moveWithCells="1">
                  <from>
                    <xdr:col>14</xdr:col>
                    <xdr:colOff>298450</xdr:colOff>
                    <xdr:row>61</xdr:row>
                    <xdr:rowOff>69850</xdr:rowOff>
                  </from>
                  <to>
                    <xdr:col>14</xdr:col>
                    <xdr:colOff>603250</xdr:colOff>
                    <xdr:row>61</xdr:row>
                    <xdr:rowOff>450850</xdr:rowOff>
                  </to>
                </anchor>
              </controlPr>
            </control>
          </mc:Choice>
        </mc:AlternateContent>
        <mc:AlternateContent xmlns:mc="http://schemas.openxmlformats.org/markup-compatibility/2006">
          <mc:Choice Requires="x14">
            <control shapeId="23570" r:id="rId12" name="Check Box 18">
              <controlPr defaultSize="0" autoFill="0" autoLine="0" autoPict="0">
                <anchor moveWithCells="1">
                  <from>
                    <xdr:col>12</xdr:col>
                    <xdr:colOff>279400</xdr:colOff>
                    <xdr:row>62</xdr:row>
                    <xdr:rowOff>69850</xdr:rowOff>
                  </from>
                  <to>
                    <xdr:col>12</xdr:col>
                    <xdr:colOff>584200</xdr:colOff>
                    <xdr:row>62</xdr:row>
                    <xdr:rowOff>457200</xdr:rowOff>
                  </to>
                </anchor>
              </controlPr>
            </control>
          </mc:Choice>
        </mc:AlternateContent>
        <mc:AlternateContent xmlns:mc="http://schemas.openxmlformats.org/markup-compatibility/2006">
          <mc:Choice Requires="x14">
            <control shapeId="23571" r:id="rId13" name="Check Box 19">
              <controlPr defaultSize="0" autoFill="0" autoLine="0" autoPict="0">
                <anchor moveWithCells="1">
                  <from>
                    <xdr:col>13</xdr:col>
                    <xdr:colOff>304800</xdr:colOff>
                    <xdr:row>62</xdr:row>
                    <xdr:rowOff>69850</xdr:rowOff>
                  </from>
                  <to>
                    <xdr:col>13</xdr:col>
                    <xdr:colOff>603250</xdr:colOff>
                    <xdr:row>62</xdr:row>
                    <xdr:rowOff>457200</xdr:rowOff>
                  </to>
                </anchor>
              </controlPr>
            </control>
          </mc:Choice>
        </mc:AlternateContent>
        <mc:AlternateContent xmlns:mc="http://schemas.openxmlformats.org/markup-compatibility/2006">
          <mc:Choice Requires="x14">
            <control shapeId="23572" r:id="rId14" name="Check Box 20">
              <controlPr defaultSize="0" autoFill="0" autoLine="0" autoPict="0">
                <anchor moveWithCells="1">
                  <from>
                    <xdr:col>14</xdr:col>
                    <xdr:colOff>298450</xdr:colOff>
                    <xdr:row>62</xdr:row>
                    <xdr:rowOff>69850</xdr:rowOff>
                  </from>
                  <to>
                    <xdr:col>14</xdr:col>
                    <xdr:colOff>603250</xdr:colOff>
                    <xdr:row>62</xdr:row>
                    <xdr:rowOff>450850</xdr:rowOff>
                  </to>
                </anchor>
              </controlPr>
            </control>
          </mc:Choice>
        </mc:AlternateContent>
        <mc:AlternateContent xmlns:mc="http://schemas.openxmlformats.org/markup-compatibility/2006">
          <mc:Choice Requires="x14">
            <control shapeId="23573" r:id="rId15" name="Check Box 21">
              <controlPr defaultSize="0" autoFill="0" autoLine="0" autoPict="0">
                <anchor moveWithCells="1">
                  <from>
                    <xdr:col>12</xdr:col>
                    <xdr:colOff>279400</xdr:colOff>
                    <xdr:row>63</xdr:row>
                    <xdr:rowOff>69850</xdr:rowOff>
                  </from>
                  <to>
                    <xdr:col>12</xdr:col>
                    <xdr:colOff>584200</xdr:colOff>
                    <xdr:row>63</xdr:row>
                    <xdr:rowOff>457200</xdr:rowOff>
                  </to>
                </anchor>
              </controlPr>
            </control>
          </mc:Choice>
        </mc:AlternateContent>
        <mc:AlternateContent xmlns:mc="http://schemas.openxmlformats.org/markup-compatibility/2006">
          <mc:Choice Requires="x14">
            <control shapeId="23574" r:id="rId16" name="Check Box 22">
              <controlPr defaultSize="0" autoFill="0" autoLine="0" autoPict="0">
                <anchor moveWithCells="1">
                  <from>
                    <xdr:col>13</xdr:col>
                    <xdr:colOff>304800</xdr:colOff>
                    <xdr:row>63</xdr:row>
                    <xdr:rowOff>69850</xdr:rowOff>
                  </from>
                  <to>
                    <xdr:col>13</xdr:col>
                    <xdr:colOff>603250</xdr:colOff>
                    <xdr:row>63</xdr:row>
                    <xdr:rowOff>457200</xdr:rowOff>
                  </to>
                </anchor>
              </controlPr>
            </control>
          </mc:Choice>
        </mc:AlternateContent>
        <mc:AlternateContent xmlns:mc="http://schemas.openxmlformats.org/markup-compatibility/2006">
          <mc:Choice Requires="x14">
            <control shapeId="23575" r:id="rId17" name="Check Box 23">
              <controlPr defaultSize="0" autoFill="0" autoLine="0" autoPict="0">
                <anchor moveWithCells="1">
                  <from>
                    <xdr:col>14</xdr:col>
                    <xdr:colOff>298450</xdr:colOff>
                    <xdr:row>63</xdr:row>
                    <xdr:rowOff>69850</xdr:rowOff>
                  </from>
                  <to>
                    <xdr:col>14</xdr:col>
                    <xdr:colOff>603250</xdr:colOff>
                    <xdr:row>63</xdr:row>
                    <xdr:rowOff>450850</xdr:rowOff>
                  </to>
                </anchor>
              </controlPr>
            </control>
          </mc:Choice>
        </mc:AlternateContent>
        <mc:AlternateContent xmlns:mc="http://schemas.openxmlformats.org/markup-compatibility/2006">
          <mc:Choice Requires="x14">
            <control shapeId="23576" r:id="rId18" name="Check Box 24">
              <controlPr defaultSize="0" autoFill="0" autoLine="0" autoPict="0">
                <anchor moveWithCells="1">
                  <from>
                    <xdr:col>12</xdr:col>
                    <xdr:colOff>279400</xdr:colOff>
                    <xdr:row>64</xdr:row>
                    <xdr:rowOff>69850</xdr:rowOff>
                  </from>
                  <to>
                    <xdr:col>12</xdr:col>
                    <xdr:colOff>584200</xdr:colOff>
                    <xdr:row>64</xdr:row>
                    <xdr:rowOff>457200</xdr:rowOff>
                  </to>
                </anchor>
              </controlPr>
            </control>
          </mc:Choice>
        </mc:AlternateContent>
        <mc:AlternateContent xmlns:mc="http://schemas.openxmlformats.org/markup-compatibility/2006">
          <mc:Choice Requires="x14">
            <control shapeId="23577" r:id="rId19" name="Check Box 25">
              <controlPr defaultSize="0" autoFill="0" autoLine="0" autoPict="0">
                <anchor moveWithCells="1">
                  <from>
                    <xdr:col>13</xdr:col>
                    <xdr:colOff>304800</xdr:colOff>
                    <xdr:row>64</xdr:row>
                    <xdr:rowOff>69850</xdr:rowOff>
                  </from>
                  <to>
                    <xdr:col>13</xdr:col>
                    <xdr:colOff>603250</xdr:colOff>
                    <xdr:row>64</xdr:row>
                    <xdr:rowOff>457200</xdr:rowOff>
                  </to>
                </anchor>
              </controlPr>
            </control>
          </mc:Choice>
        </mc:AlternateContent>
        <mc:AlternateContent xmlns:mc="http://schemas.openxmlformats.org/markup-compatibility/2006">
          <mc:Choice Requires="x14">
            <control shapeId="23578" r:id="rId20" name="Check Box 26">
              <controlPr defaultSize="0" autoFill="0" autoLine="0" autoPict="0">
                <anchor moveWithCells="1">
                  <from>
                    <xdr:col>14</xdr:col>
                    <xdr:colOff>298450</xdr:colOff>
                    <xdr:row>64</xdr:row>
                    <xdr:rowOff>69850</xdr:rowOff>
                  </from>
                  <to>
                    <xdr:col>14</xdr:col>
                    <xdr:colOff>603250</xdr:colOff>
                    <xdr:row>64</xdr:row>
                    <xdr:rowOff>450850</xdr:rowOff>
                  </to>
                </anchor>
              </controlPr>
            </control>
          </mc:Choice>
        </mc:AlternateContent>
        <mc:AlternateContent xmlns:mc="http://schemas.openxmlformats.org/markup-compatibility/2006">
          <mc:Choice Requires="x14">
            <control shapeId="23579" r:id="rId21" name="Check Box 27">
              <controlPr defaultSize="0" autoFill="0" autoLine="0" autoPict="0">
                <anchor moveWithCells="1">
                  <from>
                    <xdr:col>12</xdr:col>
                    <xdr:colOff>279400</xdr:colOff>
                    <xdr:row>65</xdr:row>
                    <xdr:rowOff>69850</xdr:rowOff>
                  </from>
                  <to>
                    <xdr:col>12</xdr:col>
                    <xdr:colOff>584200</xdr:colOff>
                    <xdr:row>65</xdr:row>
                    <xdr:rowOff>457200</xdr:rowOff>
                  </to>
                </anchor>
              </controlPr>
            </control>
          </mc:Choice>
        </mc:AlternateContent>
        <mc:AlternateContent xmlns:mc="http://schemas.openxmlformats.org/markup-compatibility/2006">
          <mc:Choice Requires="x14">
            <control shapeId="23580" r:id="rId22" name="Check Box 28">
              <controlPr defaultSize="0" autoFill="0" autoLine="0" autoPict="0">
                <anchor moveWithCells="1">
                  <from>
                    <xdr:col>13</xdr:col>
                    <xdr:colOff>304800</xdr:colOff>
                    <xdr:row>65</xdr:row>
                    <xdr:rowOff>69850</xdr:rowOff>
                  </from>
                  <to>
                    <xdr:col>13</xdr:col>
                    <xdr:colOff>603250</xdr:colOff>
                    <xdr:row>65</xdr:row>
                    <xdr:rowOff>457200</xdr:rowOff>
                  </to>
                </anchor>
              </controlPr>
            </control>
          </mc:Choice>
        </mc:AlternateContent>
        <mc:AlternateContent xmlns:mc="http://schemas.openxmlformats.org/markup-compatibility/2006">
          <mc:Choice Requires="x14">
            <control shapeId="23581" r:id="rId23" name="Check Box 29">
              <controlPr defaultSize="0" autoFill="0" autoLine="0" autoPict="0">
                <anchor moveWithCells="1">
                  <from>
                    <xdr:col>14</xdr:col>
                    <xdr:colOff>298450</xdr:colOff>
                    <xdr:row>65</xdr:row>
                    <xdr:rowOff>69850</xdr:rowOff>
                  </from>
                  <to>
                    <xdr:col>14</xdr:col>
                    <xdr:colOff>603250</xdr:colOff>
                    <xdr:row>65</xdr:row>
                    <xdr:rowOff>450850</xdr:rowOff>
                  </to>
                </anchor>
              </controlPr>
            </control>
          </mc:Choice>
        </mc:AlternateContent>
        <mc:AlternateContent xmlns:mc="http://schemas.openxmlformats.org/markup-compatibility/2006">
          <mc:Choice Requires="x14">
            <control shapeId="23582" r:id="rId24" name="Check Box 30">
              <controlPr defaultSize="0" autoFill="0" autoLine="0" autoPict="0">
                <anchor moveWithCells="1">
                  <from>
                    <xdr:col>12</xdr:col>
                    <xdr:colOff>279400</xdr:colOff>
                    <xdr:row>66</xdr:row>
                    <xdr:rowOff>69850</xdr:rowOff>
                  </from>
                  <to>
                    <xdr:col>12</xdr:col>
                    <xdr:colOff>584200</xdr:colOff>
                    <xdr:row>66</xdr:row>
                    <xdr:rowOff>457200</xdr:rowOff>
                  </to>
                </anchor>
              </controlPr>
            </control>
          </mc:Choice>
        </mc:AlternateContent>
        <mc:AlternateContent xmlns:mc="http://schemas.openxmlformats.org/markup-compatibility/2006">
          <mc:Choice Requires="x14">
            <control shapeId="23583" r:id="rId25" name="Check Box 31">
              <controlPr defaultSize="0" autoFill="0" autoLine="0" autoPict="0">
                <anchor moveWithCells="1">
                  <from>
                    <xdr:col>13</xdr:col>
                    <xdr:colOff>304800</xdr:colOff>
                    <xdr:row>66</xdr:row>
                    <xdr:rowOff>69850</xdr:rowOff>
                  </from>
                  <to>
                    <xdr:col>13</xdr:col>
                    <xdr:colOff>603250</xdr:colOff>
                    <xdr:row>66</xdr:row>
                    <xdr:rowOff>457200</xdr:rowOff>
                  </to>
                </anchor>
              </controlPr>
            </control>
          </mc:Choice>
        </mc:AlternateContent>
        <mc:AlternateContent xmlns:mc="http://schemas.openxmlformats.org/markup-compatibility/2006">
          <mc:Choice Requires="x14">
            <control shapeId="23584" r:id="rId26" name="Check Box 32">
              <controlPr defaultSize="0" autoFill="0" autoLine="0" autoPict="0">
                <anchor moveWithCells="1">
                  <from>
                    <xdr:col>14</xdr:col>
                    <xdr:colOff>298450</xdr:colOff>
                    <xdr:row>66</xdr:row>
                    <xdr:rowOff>69850</xdr:rowOff>
                  </from>
                  <to>
                    <xdr:col>14</xdr:col>
                    <xdr:colOff>603250</xdr:colOff>
                    <xdr:row>66</xdr:row>
                    <xdr:rowOff>450850</xdr:rowOff>
                  </to>
                </anchor>
              </controlPr>
            </control>
          </mc:Choice>
        </mc:AlternateContent>
        <mc:AlternateContent xmlns:mc="http://schemas.openxmlformats.org/markup-compatibility/2006">
          <mc:Choice Requires="x14">
            <control shapeId="23585" r:id="rId27" name="Check Box 33">
              <controlPr defaultSize="0" autoFill="0" autoLine="0" autoPict="0">
                <anchor moveWithCells="1">
                  <from>
                    <xdr:col>12</xdr:col>
                    <xdr:colOff>279400</xdr:colOff>
                    <xdr:row>67</xdr:row>
                    <xdr:rowOff>69850</xdr:rowOff>
                  </from>
                  <to>
                    <xdr:col>12</xdr:col>
                    <xdr:colOff>584200</xdr:colOff>
                    <xdr:row>67</xdr:row>
                    <xdr:rowOff>457200</xdr:rowOff>
                  </to>
                </anchor>
              </controlPr>
            </control>
          </mc:Choice>
        </mc:AlternateContent>
        <mc:AlternateContent xmlns:mc="http://schemas.openxmlformats.org/markup-compatibility/2006">
          <mc:Choice Requires="x14">
            <control shapeId="23586" r:id="rId28" name="Check Box 34">
              <controlPr defaultSize="0" autoFill="0" autoLine="0" autoPict="0">
                <anchor moveWithCells="1">
                  <from>
                    <xdr:col>13</xdr:col>
                    <xdr:colOff>304800</xdr:colOff>
                    <xdr:row>67</xdr:row>
                    <xdr:rowOff>69850</xdr:rowOff>
                  </from>
                  <to>
                    <xdr:col>13</xdr:col>
                    <xdr:colOff>603250</xdr:colOff>
                    <xdr:row>67</xdr:row>
                    <xdr:rowOff>457200</xdr:rowOff>
                  </to>
                </anchor>
              </controlPr>
            </control>
          </mc:Choice>
        </mc:AlternateContent>
        <mc:AlternateContent xmlns:mc="http://schemas.openxmlformats.org/markup-compatibility/2006">
          <mc:Choice Requires="x14">
            <control shapeId="23587" r:id="rId29" name="Check Box 35">
              <controlPr defaultSize="0" autoFill="0" autoLine="0" autoPict="0">
                <anchor moveWithCells="1">
                  <from>
                    <xdr:col>14</xdr:col>
                    <xdr:colOff>298450</xdr:colOff>
                    <xdr:row>67</xdr:row>
                    <xdr:rowOff>69850</xdr:rowOff>
                  </from>
                  <to>
                    <xdr:col>14</xdr:col>
                    <xdr:colOff>603250</xdr:colOff>
                    <xdr:row>67</xdr:row>
                    <xdr:rowOff>450850</xdr:rowOff>
                  </to>
                </anchor>
              </controlPr>
            </control>
          </mc:Choice>
        </mc:AlternateContent>
        <mc:AlternateContent xmlns:mc="http://schemas.openxmlformats.org/markup-compatibility/2006">
          <mc:Choice Requires="x14">
            <control shapeId="23588" r:id="rId30" name="Check Box 36">
              <controlPr defaultSize="0" autoFill="0" autoLine="0" autoPict="0">
                <anchor moveWithCells="1">
                  <from>
                    <xdr:col>12</xdr:col>
                    <xdr:colOff>279400</xdr:colOff>
                    <xdr:row>68</xdr:row>
                    <xdr:rowOff>69850</xdr:rowOff>
                  </from>
                  <to>
                    <xdr:col>12</xdr:col>
                    <xdr:colOff>584200</xdr:colOff>
                    <xdr:row>68</xdr:row>
                    <xdr:rowOff>457200</xdr:rowOff>
                  </to>
                </anchor>
              </controlPr>
            </control>
          </mc:Choice>
        </mc:AlternateContent>
        <mc:AlternateContent xmlns:mc="http://schemas.openxmlformats.org/markup-compatibility/2006">
          <mc:Choice Requires="x14">
            <control shapeId="23589" r:id="rId31" name="Check Box 37">
              <controlPr defaultSize="0" autoFill="0" autoLine="0" autoPict="0">
                <anchor moveWithCells="1">
                  <from>
                    <xdr:col>13</xdr:col>
                    <xdr:colOff>304800</xdr:colOff>
                    <xdr:row>68</xdr:row>
                    <xdr:rowOff>69850</xdr:rowOff>
                  </from>
                  <to>
                    <xdr:col>13</xdr:col>
                    <xdr:colOff>603250</xdr:colOff>
                    <xdr:row>68</xdr:row>
                    <xdr:rowOff>457200</xdr:rowOff>
                  </to>
                </anchor>
              </controlPr>
            </control>
          </mc:Choice>
        </mc:AlternateContent>
        <mc:AlternateContent xmlns:mc="http://schemas.openxmlformats.org/markup-compatibility/2006">
          <mc:Choice Requires="x14">
            <control shapeId="23590" r:id="rId32" name="Check Box 38">
              <controlPr defaultSize="0" autoFill="0" autoLine="0" autoPict="0">
                <anchor moveWithCells="1">
                  <from>
                    <xdr:col>14</xdr:col>
                    <xdr:colOff>298450</xdr:colOff>
                    <xdr:row>68</xdr:row>
                    <xdr:rowOff>69850</xdr:rowOff>
                  </from>
                  <to>
                    <xdr:col>14</xdr:col>
                    <xdr:colOff>603250</xdr:colOff>
                    <xdr:row>68</xdr:row>
                    <xdr:rowOff>450850</xdr:rowOff>
                  </to>
                </anchor>
              </controlPr>
            </control>
          </mc:Choice>
        </mc:AlternateContent>
        <mc:AlternateContent xmlns:mc="http://schemas.openxmlformats.org/markup-compatibility/2006">
          <mc:Choice Requires="x14">
            <control shapeId="23591" r:id="rId33" name="Check Box 39">
              <controlPr defaultSize="0" autoFill="0" autoLine="0" autoPict="0">
                <anchor moveWithCells="1">
                  <from>
                    <xdr:col>12</xdr:col>
                    <xdr:colOff>279400</xdr:colOff>
                    <xdr:row>69</xdr:row>
                    <xdr:rowOff>69850</xdr:rowOff>
                  </from>
                  <to>
                    <xdr:col>12</xdr:col>
                    <xdr:colOff>584200</xdr:colOff>
                    <xdr:row>69</xdr:row>
                    <xdr:rowOff>457200</xdr:rowOff>
                  </to>
                </anchor>
              </controlPr>
            </control>
          </mc:Choice>
        </mc:AlternateContent>
        <mc:AlternateContent xmlns:mc="http://schemas.openxmlformats.org/markup-compatibility/2006">
          <mc:Choice Requires="x14">
            <control shapeId="23592" r:id="rId34" name="Check Box 40">
              <controlPr defaultSize="0" autoFill="0" autoLine="0" autoPict="0">
                <anchor moveWithCells="1">
                  <from>
                    <xdr:col>13</xdr:col>
                    <xdr:colOff>304800</xdr:colOff>
                    <xdr:row>69</xdr:row>
                    <xdr:rowOff>69850</xdr:rowOff>
                  </from>
                  <to>
                    <xdr:col>13</xdr:col>
                    <xdr:colOff>603250</xdr:colOff>
                    <xdr:row>69</xdr:row>
                    <xdr:rowOff>457200</xdr:rowOff>
                  </to>
                </anchor>
              </controlPr>
            </control>
          </mc:Choice>
        </mc:AlternateContent>
        <mc:AlternateContent xmlns:mc="http://schemas.openxmlformats.org/markup-compatibility/2006">
          <mc:Choice Requires="x14">
            <control shapeId="23593" r:id="rId35" name="Check Box 41">
              <controlPr defaultSize="0" autoFill="0" autoLine="0" autoPict="0">
                <anchor moveWithCells="1">
                  <from>
                    <xdr:col>14</xdr:col>
                    <xdr:colOff>298450</xdr:colOff>
                    <xdr:row>69</xdr:row>
                    <xdr:rowOff>69850</xdr:rowOff>
                  </from>
                  <to>
                    <xdr:col>14</xdr:col>
                    <xdr:colOff>603250</xdr:colOff>
                    <xdr:row>69</xdr:row>
                    <xdr:rowOff>450850</xdr:rowOff>
                  </to>
                </anchor>
              </controlPr>
            </control>
          </mc:Choice>
        </mc:AlternateContent>
        <mc:AlternateContent xmlns:mc="http://schemas.openxmlformats.org/markup-compatibility/2006">
          <mc:Choice Requires="x14">
            <control shapeId="23594" r:id="rId36" name="Check Box 42">
              <controlPr defaultSize="0" autoFill="0" autoLine="0" autoPict="0">
                <anchor moveWithCells="1">
                  <from>
                    <xdr:col>12</xdr:col>
                    <xdr:colOff>279400</xdr:colOff>
                    <xdr:row>70</xdr:row>
                    <xdr:rowOff>69850</xdr:rowOff>
                  </from>
                  <to>
                    <xdr:col>12</xdr:col>
                    <xdr:colOff>584200</xdr:colOff>
                    <xdr:row>70</xdr:row>
                    <xdr:rowOff>457200</xdr:rowOff>
                  </to>
                </anchor>
              </controlPr>
            </control>
          </mc:Choice>
        </mc:AlternateContent>
        <mc:AlternateContent xmlns:mc="http://schemas.openxmlformats.org/markup-compatibility/2006">
          <mc:Choice Requires="x14">
            <control shapeId="23595" r:id="rId37" name="Check Box 43">
              <controlPr defaultSize="0" autoFill="0" autoLine="0" autoPict="0">
                <anchor moveWithCells="1">
                  <from>
                    <xdr:col>13</xdr:col>
                    <xdr:colOff>304800</xdr:colOff>
                    <xdr:row>70</xdr:row>
                    <xdr:rowOff>69850</xdr:rowOff>
                  </from>
                  <to>
                    <xdr:col>13</xdr:col>
                    <xdr:colOff>603250</xdr:colOff>
                    <xdr:row>70</xdr:row>
                    <xdr:rowOff>457200</xdr:rowOff>
                  </to>
                </anchor>
              </controlPr>
            </control>
          </mc:Choice>
        </mc:AlternateContent>
        <mc:AlternateContent xmlns:mc="http://schemas.openxmlformats.org/markup-compatibility/2006">
          <mc:Choice Requires="x14">
            <control shapeId="23596" r:id="rId38" name="Check Box 44">
              <controlPr defaultSize="0" autoFill="0" autoLine="0" autoPict="0">
                <anchor moveWithCells="1">
                  <from>
                    <xdr:col>14</xdr:col>
                    <xdr:colOff>298450</xdr:colOff>
                    <xdr:row>70</xdr:row>
                    <xdr:rowOff>69850</xdr:rowOff>
                  </from>
                  <to>
                    <xdr:col>14</xdr:col>
                    <xdr:colOff>603250</xdr:colOff>
                    <xdr:row>70</xdr:row>
                    <xdr:rowOff>450850</xdr:rowOff>
                  </to>
                </anchor>
              </controlPr>
            </control>
          </mc:Choice>
        </mc:AlternateContent>
        <mc:AlternateContent xmlns:mc="http://schemas.openxmlformats.org/markup-compatibility/2006">
          <mc:Choice Requires="x14">
            <control shapeId="23597" r:id="rId39" name="Check Box 45">
              <controlPr defaultSize="0" autoFill="0" autoLine="0" autoPict="0">
                <anchor moveWithCells="1">
                  <from>
                    <xdr:col>12</xdr:col>
                    <xdr:colOff>279400</xdr:colOff>
                    <xdr:row>71</xdr:row>
                    <xdr:rowOff>69850</xdr:rowOff>
                  </from>
                  <to>
                    <xdr:col>12</xdr:col>
                    <xdr:colOff>584200</xdr:colOff>
                    <xdr:row>71</xdr:row>
                    <xdr:rowOff>457200</xdr:rowOff>
                  </to>
                </anchor>
              </controlPr>
            </control>
          </mc:Choice>
        </mc:AlternateContent>
        <mc:AlternateContent xmlns:mc="http://schemas.openxmlformats.org/markup-compatibility/2006">
          <mc:Choice Requires="x14">
            <control shapeId="23598" r:id="rId40" name="Check Box 46">
              <controlPr defaultSize="0" autoFill="0" autoLine="0" autoPict="0">
                <anchor moveWithCells="1">
                  <from>
                    <xdr:col>13</xdr:col>
                    <xdr:colOff>304800</xdr:colOff>
                    <xdr:row>71</xdr:row>
                    <xdr:rowOff>69850</xdr:rowOff>
                  </from>
                  <to>
                    <xdr:col>13</xdr:col>
                    <xdr:colOff>603250</xdr:colOff>
                    <xdr:row>71</xdr:row>
                    <xdr:rowOff>457200</xdr:rowOff>
                  </to>
                </anchor>
              </controlPr>
            </control>
          </mc:Choice>
        </mc:AlternateContent>
        <mc:AlternateContent xmlns:mc="http://schemas.openxmlformats.org/markup-compatibility/2006">
          <mc:Choice Requires="x14">
            <control shapeId="23599" r:id="rId41" name="Check Box 47">
              <controlPr defaultSize="0" autoFill="0" autoLine="0" autoPict="0">
                <anchor moveWithCells="1">
                  <from>
                    <xdr:col>14</xdr:col>
                    <xdr:colOff>298450</xdr:colOff>
                    <xdr:row>71</xdr:row>
                    <xdr:rowOff>69850</xdr:rowOff>
                  </from>
                  <to>
                    <xdr:col>14</xdr:col>
                    <xdr:colOff>603250</xdr:colOff>
                    <xdr:row>71</xdr:row>
                    <xdr:rowOff>450850</xdr:rowOff>
                  </to>
                </anchor>
              </controlPr>
            </control>
          </mc:Choice>
        </mc:AlternateContent>
        <mc:AlternateContent xmlns:mc="http://schemas.openxmlformats.org/markup-compatibility/2006">
          <mc:Choice Requires="x14">
            <control shapeId="23600" r:id="rId42" name="Check Box 48">
              <controlPr defaultSize="0" autoFill="0" autoLine="0" autoPict="0">
                <anchor moveWithCells="1">
                  <from>
                    <xdr:col>12</xdr:col>
                    <xdr:colOff>279400</xdr:colOff>
                    <xdr:row>72</xdr:row>
                    <xdr:rowOff>69850</xdr:rowOff>
                  </from>
                  <to>
                    <xdr:col>12</xdr:col>
                    <xdr:colOff>584200</xdr:colOff>
                    <xdr:row>72</xdr:row>
                    <xdr:rowOff>457200</xdr:rowOff>
                  </to>
                </anchor>
              </controlPr>
            </control>
          </mc:Choice>
        </mc:AlternateContent>
        <mc:AlternateContent xmlns:mc="http://schemas.openxmlformats.org/markup-compatibility/2006">
          <mc:Choice Requires="x14">
            <control shapeId="23601" r:id="rId43" name="Check Box 49">
              <controlPr defaultSize="0" autoFill="0" autoLine="0" autoPict="0">
                <anchor moveWithCells="1">
                  <from>
                    <xdr:col>13</xdr:col>
                    <xdr:colOff>304800</xdr:colOff>
                    <xdr:row>72</xdr:row>
                    <xdr:rowOff>69850</xdr:rowOff>
                  </from>
                  <to>
                    <xdr:col>13</xdr:col>
                    <xdr:colOff>603250</xdr:colOff>
                    <xdr:row>72</xdr:row>
                    <xdr:rowOff>457200</xdr:rowOff>
                  </to>
                </anchor>
              </controlPr>
            </control>
          </mc:Choice>
        </mc:AlternateContent>
        <mc:AlternateContent xmlns:mc="http://schemas.openxmlformats.org/markup-compatibility/2006">
          <mc:Choice Requires="x14">
            <control shapeId="23602" r:id="rId44" name="Check Box 50">
              <controlPr defaultSize="0" autoFill="0" autoLine="0" autoPict="0">
                <anchor moveWithCells="1">
                  <from>
                    <xdr:col>14</xdr:col>
                    <xdr:colOff>298450</xdr:colOff>
                    <xdr:row>72</xdr:row>
                    <xdr:rowOff>69850</xdr:rowOff>
                  </from>
                  <to>
                    <xdr:col>14</xdr:col>
                    <xdr:colOff>603250</xdr:colOff>
                    <xdr:row>72</xdr:row>
                    <xdr:rowOff>450850</xdr:rowOff>
                  </to>
                </anchor>
              </controlPr>
            </control>
          </mc:Choice>
        </mc:AlternateContent>
        <mc:AlternateContent xmlns:mc="http://schemas.openxmlformats.org/markup-compatibility/2006">
          <mc:Choice Requires="x14">
            <control shapeId="23603" r:id="rId45" name="Check Box 51">
              <controlPr defaultSize="0" autoFill="0" autoLine="0" autoPict="0">
                <anchor moveWithCells="1">
                  <from>
                    <xdr:col>12</xdr:col>
                    <xdr:colOff>279400</xdr:colOff>
                    <xdr:row>73</xdr:row>
                    <xdr:rowOff>69850</xdr:rowOff>
                  </from>
                  <to>
                    <xdr:col>12</xdr:col>
                    <xdr:colOff>584200</xdr:colOff>
                    <xdr:row>73</xdr:row>
                    <xdr:rowOff>457200</xdr:rowOff>
                  </to>
                </anchor>
              </controlPr>
            </control>
          </mc:Choice>
        </mc:AlternateContent>
        <mc:AlternateContent xmlns:mc="http://schemas.openxmlformats.org/markup-compatibility/2006">
          <mc:Choice Requires="x14">
            <control shapeId="23604" r:id="rId46" name="Check Box 52">
              <controlPr defaultSize="0" autoFill="0" autoLine="0" autoPict="0">
                <anchor moveWithCells="1">
                  <from>
                    <xdr:col>13</xdr:col>
                    <xdr:colOff>304800</xdr:colOff>
                    <xdr:row>73</xdr:row>
                    <xdr:rowOff>69850</xdr:rowOff>
                  </from>
                  <to>
                    <xdr:col>13</xdr:col>
                    <xdr:colOff>603250</xdr:colOff>
                    <xdr:row>73</xdr:row>
                    <xdr:rowOff>457200</xdr:rowOff>
                  </to>
                </anchor>
              </controlPr>
            </control>
          </mc:Choice>
        </mc:AlternateContent>
        <mc:AlternateContent xmlns:mc="http://schemas.openxmlformats.org/markup-compatibility/2006">
          <mc:Choice Requires="x14">
            <control shapeId="23605" r:id="rId47" name="Check Box 53">
              <controlPr defaultSize="0" autoFill="0" autoLine="0" autoPict="0">
                <anchor moveWithCells="1">
                  <from>
                    <xdr:col>14</xdr:col>
                    <xdr:colOff>298450</xdr:colOff>
                    <xdr:row>73</xdr:row>
                    <xdr:rowOff>69850</xdr:rowOff>
                  </from>
                  <to>
                    <xdr:col>14</xdr:col>
                    <xdr:colOff>603250</xdr:colOff>
                    <xdr:row>73</xdr:row>
                    <xdr:rowOff>450850</xdr:rowOff>
                  </to>
                </anchor>
              </controlPr>
            </control>
          </mc:Choice>
        </mc:AlternateContent>
        <mc:AlternateContent xmlns:mc="http://schemas.openxmlformats.org/markup-compatibility/2006">
          <mc:Choice Requires="x14">
            <control shapeId="23606" r:id="rId48" name="Check Box 54">
              <controlPr defaultSize="0" autoFill="0" autoLine="0" autoPict="0">
                <anchor moveWithCells="1">
                  <from>
                    <xdr:col>12</xdr:col>
                    <xdr:colOff>279400</xdr:colOff>
                    <xdr:row>74</xdr:row>
                    <xdr:rowOff>69850</xdr:rowOff>
                  </from>
                  <to>
                    <xdr:col>12</xdr:col>
                    <xdr:colOff>584200</xdr:colOff>
                    <xdr:row>74</xdr:row>
                    <xdr:rowOff>457200</xdr:rowOff>
                  </to>
                </anchor>
              </controlPr>
            </control>
          </mc:Choice>
        </mc:AlternateContent>
        <mc:AlternateContent xmlns:mc="http://schemas.openxmlformats.org/markup-compatibility/2006">
          <mc:Choice Requires="x14">
            <control shapeId="23607" r:id="rId49" name="Check Box 55">
              <controlPr defaultSize="0" autoFill="0" autoLine="0" autoPict="0">
                <anchor moveWithCells="1">
                  <from>
                    <xdr:col>13</xdr:col>
                    <xdr:colOff>304800</xdr:colOff>
                    <xdr:row>74</xdr:row>
                    <xdr:rowOff>69850</xdr:rowOff>
                  </from>
                  <to>
                    <xdr:col>13</xdr:col>
                    <xdr:colOff>603250</xdr:colOff>
                    <xdr:row>74</xdr:row>
                    <xdr:rowOff>457200</xdr:rowOff>
                  </to>
                </anchor>
              </controlPr>
            </control>
          </mc:Choice>
        </mc:AlternateContent>
        <mc:AlternateContent xmlns:mc="http://schemas.openxmlformats.org/markup-compatibility/2006">
          <mc:Choice Requires="x14">
            <control shapeId="23608" r:id="rId50" name="Check Box 56">
              <controlPr defaultSize="0" autoFill="0" autoLine="0" autoPict="0">
                <anchor moveWithCells="1">
                  <from>
                    <xdr:col>14</xdr:col>
                    <xdr:colOff>298450</xdr:colOff>
                    <xdr:row>74</xdr:row>
                    <xdr:rowOff>69850</xdr:rowOff>
                  </from>
                  <to>
                    <xdr:col>14</xdr:col>
                    <xdr:colOff>603250</xdr:colOff>
                    <xdr:row>74</xdr:row>
                    <xdr:rowOff>450850</xdr:rowOff>
                  </to>
                </anchor>
              </controlPr>
            </control>
          </mc:Choice>
        </mc:AlternateContent>
        <mc:AlternateContent xmlns:mc="http://schemas.openxmlformats.org/markup-compatibility/2006">
          <mc:Choice Requires="x14">
            <control shapeId="23609" r:id="rId51" name="Check Box 57">
              <controlPr defaultSize="0" autoFill="0" autoLine="0" autoPict="0">
                <anchor moveWithCells="1">
                  <from>
                    <xdr:col>12</xdr:col>
                    <xdr:colOff>279400</xdr:colOff>
                    <xdr:row>75</xdr:row>
                    <xdr:rowOff>69850</xdr:rowOff>
                  </from>
                  <to>
                    <xdr:col>12</xdr:col>
                    <xdr:colOff>584200</xdr:colOff>
                    <xdr:row>75</xdr:row>
                    <xdr:rowOff>457200</xdr:rowOff>
                  </to>
                </anchor>
              </controlPr>
            </control>
          </mc:Choice>
        </mc:AlternateContent>
        <mc:AlternateContent xmlns:mc="http://schemas.openxmlformats.org/markup-compatibility/2006">
          <mc:Choice Requires="x14">
            <control shapeId="23610" r:id="rId52" name="Check Box 58">
              <controlPr defaultSize="0" autoFill="0" autoLine="0" autoPict="0">
                <anchor moveWithCells="1">
                  <from>
                    <xdr:col>13</xdr:col>
                    <xdr:colOff>304800</xdr:colOff>
                    <xdr:row>75</xdr:row>
                    <xdr:rowOff>69850</xdr:rowOff>
                  </from>
                  <to>
                    <xdr:col>13</xdr:col>
                    <xdr:colOff>603250</xdr:colOff>
                    <xdr:row>75</xdr:row>
                    <xdr:rowOff>457200</xdr:rowOff>
                  </to>
                </anchor>
              </controlPr>
            </control>
          </mc:Choice>
        </mc:AlternateContent>
        <mc:AlternateContent xmlns:mc="http://schemas.openxmlformats.org/markup-compatibility/2006">
          <mc:Choice Requires="x14">
            <control shapeId="23611" r:id="rId53" name="Check Box 59">
              <controlPr defaultSize="0" autoFill="0" autoLine="0" autoPict="0">
                <anchor moveWithCells="1">
                  <from>
                    <xdr:col>14</xdr:col>
                    <xdr:colOff>298450</xdr:colOff>
                    <xdr:row>75</xdr:row>
                    <xdr:rowOff>69850</xdr:rowOff>
                  </from>
                  <to>
                    <xdr:col>14</xdr:col>
                    <xdr:colOff>603250</xdr:colOff>
                    <xdr:row>75</xdr:row>
                    <xdr:rowOff>450850</xdr:rowOff>
                  </to>
                </anchor>
              </controlPr>
            </control>
          </mc:Choice>
        </mc:AlternateContent>
        <mc:AlternateContent xmlns:mc="http://schemas.openxmlformats.org/markup-compatibility/2006">
          <mc:Choice Requires="x14">
            <control shapeId="23612" r:id="rId54" name="Check Box 60">
              <controlPr defaultSize="0" autoFill="0" autoLine="0" autoPict="0">
                <anchor moveWithCells="1">
                  <from>
                    <xdr:col>12</xdr:col>
                    <xdr:colOff>279400</xdr:colOff>
                    <xdr:row>76</xdr:row>
                    <xdr:rowOff>69850</xdr:rowOff>
                  </from>
                  <to>
                    <xdr:col>12</xdr:col>
                    <xdr:colOff>584200</xdr:colOff>
                    <xdr:row>76</xdr:row>
                    <xdr:rowOff>457200</xdr:rowOff>
                  </to>
                </anchor>
              </controlPr>
            </control>
          </mc:Choice>
        </mc:AlternateContent>
        <mc:AlternateContent xmlns:mc="http://schemas.openxmlformats.org/markup-compatibility/2006">
          <mc:Choice Requires="x14">
            <control shapeId="23613" r:id="rId55" name="Check Box 61">
              <controlPr defaultSize="0" autoFill="0" autoLine="0" autoPict="0">
                <anchor moveWithCells="1">
                  <from>
                    <xdr:col>13</xdr:col>
                    <xdr:colOff>304800</xdr:colOff>
                    <xdr:row>76</xdr:row>
                    <xdr:rowOff>69850</xdr:rowOff>
                  </from>
                  <to>
                    <xdr:col>13</xdr:col>
                    <xdr:colOff>603250</xdr:colOff>
                    <xdr:row>76</xdr:row>
                    <xdr:rowOff>457200</xdr:rowOff>
                  </to>
                </anchor>
              </controlPr>
            </control>
          </mc:Choice>
        </mc:AlternateContent>
        <mc:AlternateContent xmlns:mc="http://schemas.openxmlformats.org/markup-compatibility/2006">
          <mc:Choice Requires="x14">
            <control shapeId="23614" r:id="rId56" name="Check Box 62">
              <controlPr defaultSize="0" autoFill="0" autoLine="0" autoPict="0">
                <anchor moveWithCells="1">
                  <from>
                    <xdr:col>14</xdr:col>
                    <xdr:colOff>298450</xdr:colOff>
                    <xdr:row>76</xdr:row>
                    <xdr:rowOff>69850</xdr:rowOff>
                  </from>
                  <to>
                    <xdr:col>14</xdr:col>
                    <xdr:colOff>603250</xdr:colOff>
                    <xdr:row>76</xdr:row>
                    <xdr:rowOff>450850</xdr:rowOff>
                  </to>
                </anchor>
              </controlPr>
            </control>
          </mc:Choice>
        </mc:AlternateContent>
        <mc:AlternateContent xmlns:mc="http://schemas.openxmlformats.org/markup-compatibility/2006">
          <mc:Choice Requires="x14">
            <control shapeId="23615" r:id="rId57" name="Check Box 63">
              <controlPr defaultSize="0" autoFill="0" autoLine="0" autoPict="0">
                <anchor moveWithCells="1">
                  <from>
                    <xdr:col>12</xdr:col>
                    <xdr:colOff>279400</xdr:colOff>
                    <xdr:row>77</xdr:row>
                    <xdr:rowOff>69850</xdr:rowOff>
                  </from>
                  <to>
                    <xdr:col>12</xdr:col>
                    <xdr:colOff>584200</xdr:colOff>
                    <xdr:row>77</xdr:row>
                    <xdr:rowOff>457200</xdr:rowOff>
                  </to>
                </anchor>
              </controlPr>
            </control>
          </mc:Choice>
        </mc:AlternateContent>
        <mc:AlternateContent xmlns:mc="http://schemas.openxmlformats.org/markup-compatibility/2006">
          <mc:Choice Requires="x14">
            <control shapeId="23616" r:id="rId58" name="Check Box 64">
              <controlPr defaultSize="0" autoFill="0" autoLine="0" autoPict="0">
                <anchor moveWithCells="1">
                  <from>
                    <xdr:col>13</xdr:col>
                    <xdr:colOff>304800</xdr:colOff>
                    <xdr:row>77</xdr:row>
                    <xdr:rowOff>69850</xdr:rowOff>
                  </from>
                  <to>
                    <xdr:col>13</xdr:col>
                    <xdr:colOff>603250</xdr:colOff>
                    <xdr:row>77</xdr:row>
                    <xdr:rowOff>457200</xdr:rowOff>
                  </to>
                </anchor>
              </controlPr>
            </control>
          </mc:Choice>
        </mc:AlternateContent>
        <mc:AlternateContent xmlns:mc="http://schemas.openxmlformats.org/markup-compatibility/2006">
          <mc:Choice Requires="x14">
            <control shapeId="23617" r:id="rId59" name="Check Box 65">
              <controlPr defaultSize="0" autoFill="0" autoLine="0" autoPict="0">
                <anchor moveWithCells="1">
                  <from>
                    <xdr:col>14</xdr:col>
                    <xdr:colOff>298450</xdr:colOff>
                    <xdr:row>77</xdr:row>
                    <xdr:rowOff>69850</xdr:rowOff>
                  </from>
                  <to>
                    <xdr:col>14</xdr:col>
                    <xdr:colOff>603250</xdr:colOff>
                    <xdr:row>77</xdr:row>
                    <xdr:rowOff>450850</xdr:rowOff>
                  </to>
                </anchor>
              </controlPr>
            </control>
          </mc:Choice>
        </mc:AlternateContent>
        <mc:AlternateContent xmlns:mc="http://schemas.openxmlformats.org/markup-compatibility/2006">
          <mc:Choice Requires="x14">
            <control shapeId="23618" r:id="rId60" name="Check Box 66">
              <controlPr defaultSize="0" autoFill="0" autoLine="0" autoPict="0">
                <anchor moveWithCells="1">
                  <from>
                    <xdr:col>12</xdr:col>
                    <xdr:colOff>279400</xdr:colOff>
                    <xdr:row>78</xdr:row>
                    <xdr:rowOff>69850</xdr:rowOff>
                  </from>
                  <to>
                    <xdr:col>12</xdr:col>
                    <xdr:colOff>584200</xdr:colOff>
                    <xdr:row>78</xdr:row>
                    <xdr:rowOff>457200</xdr:rowOff>
                  </to>
                </anchor>
              </controlPr>
            </control>
          </mc:Choice>
        </mc:AlternateContent>
        <mc:AlternateContent xmlns:mc="http://schemas.openxmlformats.org/markup-compatibility/2006">
          <mc:Choice Requires="x14">
            <control shapeId="23619" r:id="rId61" name="Check Box 67">
              <controlPr defaultSize="0" autoFill="0" autoLine="0" autoPict="0">
                <anchor moveWithCells="1">
                  <from>
                    <xdr:col>13</xdr:col>
                    <xdr:colOff>304800</xdr:colOff>
                    <xdr:row>78</xdr:row>
                    <xdr:rowOff>69850</xdr:rowOff>
                  </from>
                  <to>
                    <xdr:col>13</xdr:col>
                    <xdr:colOff>603250</xdr:colOff>
                    <xdr:row>78</xdr:row>
                    <xdr:rowOff>457200</xdr:rowOff>
                  </to>
                </anchor>
              </controlPr>
            </control>
          </mc:Choice>
        </mc:AlternateContent>
        <mc:AlternateContent xmlns:mc="http://schemas.openxmlformats.org/markup-compatibility/2006">
          <mc:Choice Requires="x14">
            <control shapeId="23620" r:id="rId62" name="Check Box 68">
              <controlPr defaultSize="0" autoFill="0" autoLine="0" autoPict="0">
                <anchor moveWithCells="1">
                  <from>
                    <xdr:col>14</xdr:col>
                    <xdr:colOff>298450</xdr:colOff>
                    <xdr:row>78</xdr:row>
                    <xdr:rowOff>69850</xdr:rowOff>
                  </from>
                  <to>
                    <xdr:col>14</xdr:col>
                    <xdr:colOff>603250</xdr:colOff>
                    <xdr:row>78</xdr:row>
                    <xdr:rowOff>450850</xdr:rowOff>
                  </to>
                </anchor>
              </controlPr>
            </control>
          </mc:Choice>
        </mc:AlternateContent>
        <mc:AlternateContent xmlns:mc="http://schemas.openxmlformats.org/markup-compatibility/2006">
          <mc:Choice Requires="x14">
            <control shapeId="23621" r:id="rId63" name="Check Box 69">
              <controlPr defaultSize="0" autoFill="0" autoLine="0" autoPict="0">
                <anchor moveWithCells="1">
                  <from>
                    <xdr:col>12</xdr:col>
                    <xdr:colOff>279400</xdr:colOff>
                    <xdr:row>79</xdr:row>
                    <xdr:rowOff>69850</xdr:rowOff>
                  </from>
                  <to>
                    <xdr:col>12</xdr:col>
                    <xdr:colOff>584200</xdr:colOff>
                    <xdr:row>79</xdr:row>
                    <xdr:rowOff>457200</xdr:rowOff>
                  </to>
                </anchor>
              </controlPr>
            </control>
          </mc:Choice>
        </mc:AlternateContent>
        <mc:AlternateContent xmlns:mc="http://schemas.openxmlformats.org/markup-compatibility/2006">
          <mc:Choice Requires="x14">
            <control shapeId="23622" r:id="rId64" name="Check Box 70">
              <controlPr defaultSize="0" autoFill="0" autoLine="0" autoPict="0">
                <anchor moveWithCells="1">
                  <from>
                    <xdr:col>13</xdr:col>
                    <xdr:colOff>304800</xdr:colOff>
                    <xdr:row>79</xdr:row>
                    <xdr:rowOff>69850</xdr:rowOff>
                  </from>
                  <to>
                    <xdr:col>13</xdr:col>
                    <xdr:colOff>603250</xdr:colOff>
                    <xdr:row>79</xdr:row>
                    <xdr:rowOff>457200</xdr:rowOff>
                  </to>
                </anchor>
              </controlPr>
            </control>
          </mc:Choice>
        </mc:AlternateContent>
        <mc:AlternateContent xmlns:mc="http://schemas.openxmlformats.org/markup-compatibility/2006">
          <mc:Choice Requires="x14">
            <control shapeId="23623" r:id="rId65" name="Check Box 71">
              <controlPr defaultSize="0" autoFill="0" autoLine="0" autoPict="0">
                <anchor moveWithCells="1">
                  <from>
                    <xdr:col>14</xdr:col>
                    <xdr:colOff>298450</xdr:colOff>
                    <xdr:row>79</xdr:row>
                    <xdr:rowOff>69850</xdr:rowOff>
                  </from>
                  <to>
                    <xdr:col>14</xdr:col>
                    <xdr:colOff>603250</xdr:colOff>
                    <xdr:row>79</xdr:row>
                    <xdr:rowOff>450850</xdr:rowOff>
                  </to>
                </anchor>
              </controlPr>
            </control>
          </mc:Choice>
        </mc:AlternateContent>
        <mc:AlternateContent xmlns:mc="http://schemas.openxmlformats.org/markup-compatibility/2006">
          <mc:Choice Requires="x14">
            <control shapeId="23624" r:id="rId66" name="Check Box 72">
              <controlPr defaultSize="0" autoFill="0" autoLine="0" autoPict="0">
                <anchor moveWithCells="1">
                  <from>
                    <xdr:col>12</xdr:col>
                    <xdr:colOff>279400</xdr:colOff>
                    <xdr:row>80</xdr:row>
                    <xdr:rowOff>69850</xdr:rowOff>
                  </from>
                  <to>
                    <xdr:col>12</xdr:col>
                    <xdr:colOff>584200</xdr:colOff>
                    <xdr:row>80</xdr:row>
                    <xdr:rowOff>457200</xdr:rowOff>
                  </to>
                </anchor>
              </controlPr>
            </control>
          </mc:Choice>
        </mc:AlternateContent>
        <mc:AlternateContent xmlns:mc="http://schemas.openxmlformats.org/markup-compatibility/2006">
          <mc:Choice Requires="x14">
            <control shapeId="23625" r:id="rId67" name="Check Box 73">
              <controlPr defaultSize="0" autoFill="0" autoLine="0" autoPict="0">
                <anchor moveWithCells="1">
                  <from>
                    <xdr:col>13</xdr:col>
                    <xdr:colOff>304800</xdr:colOff>
                    <xdr:row>80</xdr:row>
                    <xdr:rowOff>69850</xdr:rowOff>
                  </from>
                  <to>
                    <xdr:col>13</xdr:col>
                    <xdr:colOff>603250</xdr:colOff>
                    <xdr:row>80</xdr:row>
                    <xdr:rowOff>457200</xdr:rowOff>
                  </to>
                </anchor>
              </controlPr>
            </control>
          </mc:Choice>
        </mc:AlternateContent>
        <mc:AlternateContent xmlns:mc="http://schemas.openxmlformats.org/markup-compatibility/2006">
          <mc:Choice Requires="x14">
            <control shapeId="23626" r:id="rId68" name="Check Box 74">
              <controlPr defaultSize="0" autoFill="0" autoLine="0" autoPict="0">
                <anchor moveWithCells="1">
                  <from>
                    <xdr:col>14</xdr:col>
                    <xdr:colOff>298450</xdr:colOff>
                    <xdr:row>80</xdr:row>
                    <xdr:rowOff>69850</xdr:rowOff>
                  </from>
                  <to>
                    <xdr:col>14</xdr:col>
                    <xdr:colOff>603250</xdr:colOff>
                    <xdr:row>80</xdr:row>
                    <xdr:rowOff>450850</xdr:rowOff>
                  </to>
                </anchor>
              </controlPr>
            </control>
          </mc:Choice>
        </mc:AlternateContent>
        <mc:AlternateContent xmlns:mc="http://schemas.openxmlformats.org/markup-compatibility/2006">
          <mc:Choice Requires="x14">
            <control shapeId="23627" r:id="rId69" name="Check Box 75">
              <controlPr defaultSize="0" autoFill="0" autoLine="0" autoPict="0">
                <anchor moveWithCells="1">
                  <from>
                    <xdr:col>12</xdr:col>
                    <xdr:colOff>279400</xdr:colOff>
                    <xdr:row>81</xdr:row>
                    <xdr:rowOff>69850</xdr:rowOff>
                  </from>
                  <to>
                    <xdr:col>12</xdr:col>
                    <xdr:colOff>584200</xdr:colOff>
                    <xdr:row>81</xdr:row>
                    <xdr:rowOff>457200</xdr:rowOff>
                  </to>
                </anchor>
              </controlPr>
            </control>
          </mc:Choice>
        </mc:AlternateContent>
        <mc:AlternateContent xmlns:mc="http://schemas.openxmlformats.org/markup-compatibility/2006">
          <mc:Choice Requires="x14">
            <control shapeId="23628" r:id="rId70" name="Check Box 76">
              <controlPr defaultSize="0" autoFill="0" autoLine="0" autoPict="0">
                <anchor moveWithCells="1">
                  <from>
                    <xdr:col>13</xdr:col>
                    <xdr:colOff>304800</xdr:colOff>
                    <xdr:row>81</xdr:row>
                    <xdr:rowOff>69850</xdr:rowOff>
                  </from>
                  <to>
                    <xdr:col>13</xdr:col>
                    <xdr:colOff>603250</xdr:colOff>
                    <xdr:row>81</xdr:row>
                    <xdr:rowOff>457200</xdr:rowOff>
                  </to>
                </anchor>
              </controlPr>
            </control>
          </mc:Choice>
        </mc:AlternateContent>
        <mc:AlternateContent xmlns:mc="http://schemas.openxmlformats.org/markup-compatibility/2006">
          <mc:Choice Requires="x14">
            <control shapeId="23629" r:id="rId71" name="Check Box 77">
              <controlPr defaultSize="0" autoFill="0" autoLine="0" autoPict="0">
                <anchor moveWithCells="1">
                  <from>
                    <xdr:col>14</xdr:col>
                    <xdr:colOff>298450</xdr:colOff>
                    <xdr:row>81</xdr:row>
                    <xdr:rowOff>69850</xdr:rowOff>
                  </from>
                  <to>
                    <xdr:col>14</xdr:col>
                    <xdr:colOff>603250</xdr:colOff>
                    <xdr:row>81</xdr:row>
                    <xdr:rowOff>450850</xdr:rowOff>
                  </to>
                </anchor>
              </controlPr>
            </control>
          </mc:Choice>
        </mc:AlternateContent>
        <mc:AlternateContent xmlns:mc="http://schemas.openxmlformats.org/markup-compatibility/2006">
          <mc:Choice Requires="x14">
            <control shapeId="23630" r:id="rId72" name="Check Box 78">
              <controlPr defaultSize="0" autoFill="0" autoLine="0" autoPict="0">
                <anchor moveWithCells="1">
                  <from>
                    <xdr:col>12</xdr:col>
                    <xdr:colOff>279400</xdr:colOff>
                    <xdr:row>82</xdr:row>
                    <xdr:rowOff>69850</xdr:rowOff>
                  </from>
                  <to>
                    <xdr:col>12</xdr:col>
                    <xdr:colOff>584200</xdr:colOff>
                    <xdr:row>82</xdr:row>
                    <xdr:rowOff>457200</xdr:rowOff>
                  </to>
                </anchor>
              </controlPr>
            </control>
          </mc:Choice>
        </mc:AlternateContent>
        <mc:AlternateContent xmlns:mc="http://schemas.openxmlformats.org/markup-compatibility/2006">
          <mc:Choice Requires="x14">
            <control shapeId="23631" r:id="rId73" name="Check Box 79">
              <controlPr defaultSize="0" autoFill="0" autoLine="0" autoPict="0">
                <anchor moveWithCells="1">
                  <from>
                    <xdr:col>13</xdr:col>
                    <xdr:colOff>304800</xdr:colOff>
                    <xdr:row>82</xdr:row>
                    <xdr:rowOff>69850</xdr:rowOff>
                  </from>
                  <to>
                    <xdr:col>13</xdr:col>
                    <xdr:colOff>603250</xdr:colOff>
                    <xdr:row>82</xdr:row>
                    <xdr:rowOff>457200</xdr:rowOff>
                  </to>
                </anchor>
              </controlPr>
            </control>
          </mc:Choice>
        </mc:AlternateContent>
        <mc:AlternateContent xmlns:mc="http://schemas.openxmlformats.org/markup-compatibility/2006">
          <mc:Choice Requires="x14">
            <control shapeId="23632" r:id="rId74" name="Check Box 80">
              <controlPr defaultSize="0" autoFill="0" autoLine="0" autoPict="0">
                <anchor moveWithCells="1">
                  <from>
                    <xdr:col>14</xdr:col>
                    <xdr:colOff>298450</xdr:colOff>
                    <xdr:row>82</xdr:row>
                    <xdr:rowOff>69850</xdr:rowOff>
                  </from>
                  <to>
                    <xdr:col>14</xdr:col>
                    <xdr:colOff>603250</xdr:colOff>
                    <xdr:row>82</xdr:row>
                    <xdr:rowOff>450850</xdr:rowOff>
                  </to>
                </anchor>
              </controlPr>
            </control>
          </mc:Choice>
        </mc:AlternateContent>
        <mc:AlternateContent xmlns:mc="http://schemas.openxmlformats.org/markup-compatibility/2006">
          <mc:Choice Requires="x14">
            <control shapeId="23633" r:id="rId75" name="Check Box 81">
              <controlPr defaultSize="0" autoFill="0" autoLine="0" autoPict="0">
                <anchor moveWithCells="1">
                  <from>
                    <xdr:col>12</xdr:col>
                    <xdr:colOff>279400</xdr:colOff>
                    <xdr:row>83</xdr:row>
                    <xdr:rowOff>69850</xdr:rowOff>
                  </from>
                  <to>
                    <xdr:col>12</xdr:col>
                    <xdr:colOff>584200</xdr:colOff>
                    <xdr:row>83</xdr:row>
                    <xdr:rowOff>457200</xdr:rowOff>
                  </to>
                </anchor>
              </controlPr>
            </control>
          </mc:Choice>
        </mc:AlternateContent>
        <mc:AlternateContent xmlns:mc="http://schemas.openxmlformats.org/markup-compatibility/2006">
          <mc:Choice Requires="x14">
            <control shapeId="23634" r:id="rId76" name="Check Box 82">
              <controlPr defaultSize="0" autoFill="0" autoLine="0" autoPict="0">
                <anchor moveWithCells="1">
                  <from>
                    <xdr:col>13</xdr:col>
                    <xdr:colOff>304800</xdr:colOff>
                    <xdr:row>83</xdr:row>
                    <xdr:rowOff>69850</xdr:rowOff>
                  </from>
                  <to>
                    <xdr:col>13</xdr:col>
                    <xdr:colOff>603250</xdr:colOff>
                    <xdr:row>83</xdr:row>
                    <xdr:rowOff>457200</xdr:rowOff>
                  </to>
                </anchor>
              </controlPr>
            </control>
          </mc:Choice>
        </mc:AlternateContent>
        <mc:AlternateContent xmlns:mc="http://schemas.openxmlformats.org/markup-compatibility/2006">
          <mc:Choice Requires="x14">
            <control shapeId="23635" r:id="rId77" name="Check Box 83">
              <controlPr defaultSize="0" autoFill="0" autoLine="0" autoPict="0">
                <anchor moveWithCells="1">
                  <from>
                    <xdr:col>14</xdr:col>
                    <xdr:colOff>298450</xdr:colOff>
                    <xdr:row>83</xdr:row>
                    <xdr:rowOff>69850</xdr:rowOff>
                  </from>
                  <to>
                    <xdr:col>14</xdr:col>
                    <xdr:colOff>603250</xdr:colOff>
                    <xdr:row>83</xdr:row>
                    <xdr:rowOff>450850</xdr:rowOff>
                  </to>
                </anchor>
              </controlPr>
            </control>
          </mc:Choice>
        </mc:AlternateContent>
        <mc:AlternateContent xmlns:mc="http://schemas.openxmlformats.org/markup-compatibility/2006">
          <mc:Choice Requires="x14">
            <control shapeId="23636" r:id="rId78" name="Check Box 84">
              <controlPr defaultSize="0" autoFill="0" autoLine="0" autoPict="0">
                <anchor moveWithCells="1">
                  <from>
                    <xdr:col>12</xdr:col>
                    <xdr:colOff>279400</xdr:colOff>
                    <xdr:row>84</xdr:row>
                    <xdr:rowOff>69850</xdr:rowOff>
                  </from>
                  <to>
                    <xdr:col>12</xdr:col>
                    <xdr:colOff>584200</xdr:colOff>
                    <xdr:row>84</xdr:row>
                    <xdr:rowOff>457200</xdr:rowOff>
                  </to>
                </anchor>
              </controlPr>
            </control>
          </mc:Choice>
        </mc:AlternateContent>
        <mc:AlternateContent xmlns:mc="http://schemas.openxmlformats.org/markup-compatibility/2006">
          <mc:Choice Requires="x14">
            <control shapeId="23637" r:id="rId79" name="Check Box 85">
              <controlPr defaultSize="0" autoFill="0" autoLine="0" autoPict="0">
                <anchor moveWithCells="1">
                  <from>
                    <xdr:col>13</xdr:col>
                    <xdr:colOff>304800</xdr:colOff>
                    <xdr:row>84</xdr:row>
                    <xdr:rowOff>69850</xdr:rowOff>
                  </from>
                  <to>
                    <xdr:col>13</xdr:col>
                    <xdr:colOff>603250</xdr:colOff>
                    <xdr:row>84</xdr:row>
                    <xdr:rowOff>457200</xdr:rowOff>
                  </to>
                </anchor>
              </controlPr>
            </control>
          </mc:Choice>
        </mc:AlternateContent>
        <mc:AlternateContent xmlns:mc="http://schemas.openxmlformats.org/markup-compatibility/2006">
          <mc:Choice Requires="x14">
            <control shapeId="23638" r:id="rId80" name="Check Box 86">
              <controlPr defaultSize="0" autoFill="0" autoLine="0" autoPict="0">
                <anchor moveWithCells="1">
                  <from>
                    <xdr:col>14</xdr:col>
                    <xdr:colOff>298450</xdr:colOff>
                    <xdr:row>84</xdr:row>
                    <xdr:rowOff>69850</xdr:rowOff>
                  </from>
                  <to>
                    <xdr:col>14</xdr:col>
                    <xdr:colOff>603250</xdr:colOff>
                    <xdr:row>84</xdr:row>
                    <xdr:rowOff>450850</xdr:rowOff>
                  </to>
                </anchor>
              </controlPr>
            </control>
          </mc:Choice>
        </mc:AlternateContent>
        <mc:AlternateContent xmlns:mc="http://schemas.openxmlformats.org/markup-compatibility/2006">
          <mc:Choice Requires="x14">
            <control shapeId="23639" r:id="rId81" name="Check Box 87">
              <controlPr defaultSize="0" autoFill="0" autoLine="0" autoPict="0">
                <anchor moveWithCells="1">
                  <from>
                    <xdr:col>12</xdr:col>
                    <xdr:colOff>279400</xdr:colOff>
                    <xdr:row>56</xdr:row>
                    <xdr:rowOff>69850</xdr:rowOff>
                  </from>
                  <to>
                    <xdr:col>12</xdr:col>
                    <xdr:colOff>584200</xdr:colOff>
                    <xdr:row>56</xdr:row>
                    <xdr:rowOff>457200</xdr:rowOff>
                  </to>
                </anchor>
              </controlPr>
            </control>
          </mc:Choice>
        </mc:AlternateContent>
        <mc:AlternateContent xmlns:mc="http://schemas.openxmlformats.org/markup-compatibility/2006">
          <mc:Choice Requires="x14">
            <control shapeId="23640" r:id="rId82" name="Check Box 88">
              <controlPr defaultSize="0" autoFill="0" autoLine="0" autoPict="0">
                <anchor moveWithCells="1">
                  <from>
                    <xdr:col>13</xdr:col>
                    <xdr:colOff>304800</xdr:colOff>
                    <xdr:row>56</xdr:row>
                    <xdr:rowOff>69850</xdr:rowOff>
                  </from>
                  <to>
                    <xdr:col>13</xdr:col>
                    <xdr:colOff>603250</xdr:colOff>
                    <xdr:row>56</xdr:row>
                    <xdr:rowOff>457200</xdr:rowOff>
                  </to>
                </anchor>
              </controlPr>
            </control>
          </mc:Choice>
        </mc:AlternateContent>
        <mc:AlternateContent xmlns:mc="http://schemas.openxmlformats.org/markup-compatibility/2006">
          <mc:Choice Requires="x14">
            <control shapeId="23641" r:id="rId83" name="Check Box 89">
              <controlPr defaultSize="0" autoFill="0" autoLine="0" autoPict="0">
                <anchor moveWithCells="1">
                  <from>
                    <xdr:col>14</xdr:col>
                    <xdr:colOff>298450</xdr:colOff>
                    <xdr:row>56</xdr:row>
                    <xdr:rowOff>69850</xdr:rowOff>
                  </from>
                  <to>
                    <xdr:col>14</xdr:col>
                    <xdr:colOff>603250</xdr:colOff>
                    <xdr:row>56</xdr:row>
                    <xdr:rowOff>450850</xdr:rowOff>
                  </to>
                </anchor>
              </controlPr>
            </control>
          </mc:Choice>
        </mc:AlternateContent>
        <mc:AlternateContent xmlns:mc="http://schemas.openxmlformats.org/markup-compatibility/2006">
          <mc:Choice Requires="x14">
            <control shapeId="23645" r:id="rId84" name="Check Box 93">
              <controlPr defaultSize="0" autoFill="0" autoLine="0" autoPict="0">
                <anchor moveWithCells="1">
                  <from>
                    <xdr:col>12</xdr:col>
                    <xdr:colOff>279400</xdr:colOff>
                    <xdr:row>59</xdr:row>
                    <xdr:rowOff>69850</xdr:rowOff>
                  </from>
                  <to>
                    <xdr:col>12</xdr:col>
                    <xdr:colOff>584200</xdr:colOff>
                    <xdr:row>59</xdr:row>
                    <xdr:rowOff>457200</xdr:rowOff>
                  </to>
                </anchor>
              </controlPr>
            </control>
          </mc:Choice>
        </mc:AlternateContent>
        <mc:AlternateContent xmlns:mc="http://schemas.openxmlformats.org/markup-compatibility/2006">
          <mc:Choice Requires="x14">
            <control shapeId="23646" r:id="rId85" name="Check Box 94">
              <controlPr defaultSize="0" autoFill="0" autoLine="0" autoPict="0">
                <anchor moveWithCells="1">
                  <from>
                    <xdr:col>13</xdr:col>
                    <xdr:colOff>304800</xdr:colOff>
                    <xdr:row>59</xdr:row>
                    <xdr:rowOff>69850</xdr:rowOff>
                  </from>
                  <to>
                    <xdr:col>13</xdr:col>
                    <xdr:colOff>603250</xdr:colOff>
                    <xdr:row>59</xdr:row>
                    <xdr:rowOff>457200</xdr:rowOff>
                  </to>
                </anchor>
              </controlPr>
            </control>
          </mc:Choice>
        </mc:AlternateContent>
        <mc:AlternateContent xmlns:mc="http://schemas.openxmlformats.org/markup-compatibility/2006">
          <mc:Choice Requires="x14">
            <control shapeId="23647" r:id="rId86" name="Check Box 95">
              <controlPr defaultSize="0" autoFill="0" autoLine="0" autoPict="0">
                <anchor moveWithCells="1">
                  <from>
                    <xdr:col>14</xdr:col>
                    <xdr:colOff>298450</xdr:colOff>
                    <xdr:row>59</xdr:row>
                    <xdr:rowOff>69850</xdr:rowOff>
                  </from>
                  <to>
                    <xdr:col>14</xdr:col>
                    <xdr:colOff>603250</xdr:colOff>
                    <xdr:row>59</xdr:row>
                    <xdr:rowOff>450850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70F8F-2A8E-415F-AF57-BEC0942B1726}">
  <sheetPr codeName="Sheet12">
    <tabColor rgb="FF92D050"/>
    <pageSetUpPr fitToPage="1"/>
  </sheetPr>
  <dimension ref="A1:R42"/>
  <sheetViews>
    <sheetView showGridLines="0" workbookViewId="0">
      <selection activeCell="A24" sqref="A24:M25"/>
    </sheetView>
  </sheetViews>
  <sheetFormatPr defaultColWidth="0" defaultRowHeight="0" customHeight="1" zeroHeight="1" x14ac:dyDescent="0.3"/>
  <cols>
    <col min="1" max="2" width="2.81640625" style="63" customWidth="1"/>
    <col min="3" max="3" width="8.81640625" style="63" customWidth="1"/>
    <col min="4" max="4" width="9.1796875" style="63" customWidth="1"/>
    <col min="5" max="5" width="8.81640625" style="63" customWidth="1"/>
    <col min="6" max="8" width="3.453125" style="63" customWidth="1"/>
    <col min="9" max="9" width="6.54296875" style="63" customWidth="1"/>
    <col min="10" max="10" width="10" style="63" customWidth="1"/>
    <col min="11" max="11" width="8.81640625" style="63" customWidth="1"/>
    <col min="12" max="12" width="5.1796875" style="63" customWidth="1"/>
    <col min="13" max="13" width="13.54296875" style="63" customWidth="1"/>
    <col min="14" max="14" width="9.1796875" style="63" customWidth="1"/>
    <col min="15" max="15" width="6" style="63" customWidth="1"/>
    <col min="16" max="16" width="2.81640625" style="63" customWidth="1"/>
    <col min="17" max="18" width="2.81640625" style="63" hidden="1" customWidth="1"/>
    <col min="19" max="16384" width="8.81640625" style="63" hidden="1"/>
  </cols>
  <sheetData>
    <row r="1" spans="2:16" ht="14" x14ac:dyDescent="0.3"/>
    <row r="2" spans="2:16" ht="7.5" customHeight="1" x14ac:dyDescent="0.3">
      <c r="B2" s="137"/>
      <c r="C2" s="137"/>
      <c r="D2" s="137"/>
      <c r="E2" s="137"/>
      <c r="F2" s="137"/>
      <c r="G2" s="137"/>
      <c r="H2" s="137"/>
      <c r="I2" s="137"/>
      <c r="J2" s="137"/>
      <c r="K2" s="137"/>
      <c r="L2" s="137"/>
      <c r="M2" s="137"/>
      <c r="N2" s="137"/>
      <c r="O2" s="137"/>
    </row>
    <row r="3" spans="2:16" ht="3" customHeight="1" x14ac:dyDescent="0.3">
      <c r="B3" s="131"/>
      <c r="C3" s="131"/>
      <c r="D3" s="131"/>
      <c r="E3" s="131"/>
      <c r="F3" s="131"/>
      <c r="G3" s="131"/>
      <c r="H3" s="131"/>
      <c r="I3" s="131"/>
      <c r="J3" s="131"/>
      <c r="K3" s="131"/>
      <c r="L3" s="131"/>
      <c r="M3" s="131"/>
      <c r="N3" s="131"/>
      <c r="O3" s="131"/>
    </row>
    <row r="4" spans="2:16" ht="14" x14ac:dyDescent="0.3">
      <c r="B4" s="132"/>
      <c r="C4" s="136" t="s">
        <v>403</v>
      </c>
      <c r="D4" s="133"/>
      <c r="E4" s="814">
        <f>'Schedule B'!E6</f>
        <v>0</v>
      </c>
      <c r="F4" s="814"/>
      <c r="G4" s="814"/>
      <c r="H4" s="814"/>
      <c r="I4" s="132"/>
      <c r="J4" s="132"/>
      <c r="K4" s="135"/>
      <c r="L4" s="135"/>
      <c r="M4" s="134"/>
      <c r="N4" s="133"/>
      <c r="O4" s="133"/>
      <c r="P4" s="76"/>
    </row>
    <row r="5" spans="2:16" ht="3.65" customHeight="1" x14ac:dyDescent="0.3">
      <c r="B5" s="131"/>
      <c r="C5" s="131"/>
      <c r="D5" s="131"/>
      <c r="E5" s="131"/>
      <c r="F5" s="131"/>
      <c r="G5" s="131"/>
      <c r="H5" s="131"/>
      <c r="I5" s="131"/>
      <c r="J5" s="131"/>
      <c r="K5" s="131"/>
      <c r="L5" s="131"/>
      <c r="M5" s="131"/>
      <c r="N5" s="131"/>
      <c r="O5" s="131"/>
    </row>
    <row r="6" spans="2:16" ht="14" x14ac:dyDescent="0.3">
      <c r="B6" s="75"/>
      <c r="C6" s="75"/>
      <c r="D6" s="75"/>
      <c r="E6" s="75"/>
      <c r="F6" s="75"/>
      <c r="G6" s="75"/>
      <c r="H6" s="75"/>
      <c r="I6" s="75"/>
      <c r="J6" s="75"/>
      <c r="K6" s="75"/>
      <c r="L6" s="75"/>
      <c r="M6" s="75"/>
      <c r="N6" s="75"/>
      <c r="O6" s="75"/>
    </row>
    <row r="7" spans="2:16" ht="14" x14ac:dyDescent="0.3">
      <c r="B7" s="810" t="s">
        <v>790</v>
      </c>
      <c r="C7" s="810"/>
      <c r="D7" s="810"/>
      <c r="E7" s="810"/>
      <c r="F7" s="810"/>
      <c r="G7" s="810"/>
      <c r="H7" s="810"/>
      <c r="I7" s="810"/>
      <c r="J7" s="810"/>
      <c r="K7" s="810"/>
      <c r="L7" s="810"/>
      <c r="M7" s="810"/>
      <c r="N7" s="810"/>
      <c r="O7" s="810"/>
    </row>
    <row r="8" spans="2:16" ht="14" x14ac:dyDescent="0.3">
      <c r="B8" s="810"/>
      <c r="C8" s="810"/>
      <c r="D8" s="810"/>
      <c r="E8" s="810"/>
      <c r="F8" s="810"/>
      <c r="G8" s="810"/>
      <c r="H8" s="810"/>
      <c r="I8" s="810"/>
      <c r="J8" s="810"/>
      <c r="K8" s="810"/>
      <c r="L8" s="810"/>
      <c r="M8" s="810"/>
      <c r="N8" s="810"/>
      <c r="O8" s="810"/>
    </row>
    <row r="9" spans="2:16" ht="7.5" customHeight="1" x14ac:dyDescent="0.3">
      <c r="B9" s="130"/>
      <c r="C9" s="130"/>
      <c r="D9" s="130"/>
      <c r="E9" s="130"/>
      <c r="F9" s="130"/>
      <c r="G9" s="130"/>
      <c r="H9" s="130"/>
      <c r="I9" s="130"/>
      <c r="J9" s="130"/>
      <c r="K9" s="130"/>
      <c r="L9" s="130"/>
      <c r="M9" s="130"/>
      <c r="N9" s="130"/>
      <c r="O9" s="130"/>
    </row>
    <row r="10" spans="2:16" ht="18" x14ac:dyDescent="0.3">
      <c r="B10" s="772" t="s">
        <v>360</v>
      </c>
      <c r="C10" s="772"/>
      <c r="D10" s="772"/>
      <c r="E10" s="772"/>
      <c r="F10" s="772"/>
      <c r="G10" s="772"/>
      <c r="H10" s="772"/>
      <c r="I10" s="772"/>
      <c r="J10" s="772"/>
      <c r="K10" s="772"/>
      <c r="L10" s="772"/>
      <c r="M10" s="772"/>
      <c r="N10" s="772"/>
      <c r="O10" s="772"/>
    </row>
    <row r="11" spans="2:16" ht="15.5" x14ac:dyDescent="0.35">
      <c r="B11" s="80"/>
      <c r="C11" s="80"/>
      <c r="D11" s="80"/>
      <c r="E11" s="80"/>
      <c r="F11" s="80"/>
      <c r="G11" s="80"/>
      <c r="H11" s="80"/>
      <c r="I11" s="80"/>
      <c r="J11" s="80"/>
      <c r="K11" s="80"/>
      <c r="L11" s="80"/>
      <c r="M11" s="80"/>
      <c r="N11" s="80"/>
      <c r="O11" s="81"/>
    </row>
    <row r="12" spans="2:16" ht="14" x14ac:dyDescent="0.3">
      <c r="B12" s="89"/>
      <c r="C12" s="79" t="s">
        <v>342</v>
      </c>
      <c r="D12" s="81"/>
      <c r="E12" s="81"/>
      <c r="O12" s="75"/>
    </row>
    <row r="13" spans="2:16" ht="22.5" customHeight="1" x14ac:dyDescent="0.3">
      <c r="B13" s="89"/>
      <c r="C13" s="811">
        <f>'Project Info'!C4</f>
        <v>0</v>
      </c>
      <c r="D13" s="812"/>
      <c r="E13" s="812"/>
      <c r="F13" s="812"/>
      <c r="G13" s="812"/>
      <c r="H13" s="812"/>
      <c r="I13" s="812"/>
      <c r="J13" s="813"/>
      <c r="K13" s="129"/>
      <c r="L13" s="129"/>
      <c r="M13" s="129"/>
      <c r="N13" s="129"/>
      <c r="O13" s="75"/>
    </row>
    <row r="14" spans="2:16" ht="14" x14ac:dyDescent="0.3">
      <c r="B14" s="89"/>
      <c r="C14" s="89"/>
      <c r="D14" s="128"/>
      <c r="E14" s="73"/>
      <c r="F14" s="73"/>
      <c r="G14" s="73"/>
      <c r="H14" s="73"/>
      <c r="I14" s="73"/>
      <c r="J14" s="73"/>
      <c r="K14" s="75"/>
      <c r="L14" s="75"/>
      <c r="M14" s="73"/>
      <c r="N14" s="73"/>
      <c r="O14" s="84"/>
    </row>
    <row r="15" spans="2:16" ht="18" x14ac:dyDescent="0.3">
      <c r="B15" s="772" t="s">
        <v>359</v>
      </c>
      <c r="C15" s="772"/>
      <c r="D15" s="772"/>
      <c r="E15" s="772"/>
      <c r="F15" s="772"/>
      <c r="G15" s="772"/>
      <c r="H15" s="772"/>
      <c r="I15" s="772"/>
      <c r="J15" s="772"/>
      <c r="K15" s="772"/>
      <c r="L15" s="772"/>
      <c r="M15" s="772"/>
      <c r="N15" s="772"/>
      <c r="O15" s="772"/>
    </row>
    <row r="16" spans="2:16" ht="11.25" customHeight="1" x14ac:dyDescent="0.3">
      <c r="B16" s="116"/>
      <c r="C16" s="116"/>
      <c r="D16" s="116"/>
      <c r="E16" s="116"/>
      <c r="F16" s="116"/>
      <c r="G16" s="116"/>
      <c r="H16" s="116"/>
      <c r="I16" s="116"/>
      <c r="J16" s="116"/>
      <c r="K16" s="116"/>
      <c r="L16" s="116"/>
      <c r="M16" s="116"/>
      <c r="N16" s="116"/>
      <c r="O16" s="116"/>
    </row>
    <row r="17" spans="2:15" ht="22.5" customHeight="1" x14ac:dyDescent="0.3">
      <c r="C17" s="127" t="s">
        <v>358</v>
      </c>
      <c r="D17" s="127"/>
      <c r="E17" s="127"/>
      <c r="F17" s="127"/>
      <c r="G17" s="127"/>
      <c r="H17" s="127"/>
      <c r="I17" s="788"/>
      <c r="J17" s="789"/>
      <c r="K17" s="790" t="s">
        <v>791</v>
      </c>
      <c r="L17" s="790"/>
      <c r="M17" s="790"/>
      <c r="N17" s="790"/>
      <c r="O17" s="790"/>
    </row>
    <row r="18" spans="2:15" ht="22.5" customHeight="1" x14ac:dyDescent="0.3">
      <c r="C18" s="108" t="s">
        <v>357</v>
      </c>
      <c r="D18" s="108"/>
      <c r="E18" s="108"/>
      <c r="F18" s="108"/>
      <c r="G18" s="108"/>
      <c r="H18" s="108"/>
      <c r="I18" s="791">
        <f>Summary!Y14</f>
        <v>0</v>
      </c>
      <c r="J18" s="792"/>
      <c r="K18" s="790"/>
      <c r="L18" s="790"/>
      <c r="M18" s="790"/>
      <c r="N18" s="790"/>
      <c r="O18" s="790"/>
    </row>
    <row r="19" spans="2:15" ht="15.5" x14ac:dyDescent="0.3">
      <c r="C19" s="108"/>
      <c r="D19" s="108"/>
      <c r="E19" s="108"/>
      <c r="F19" s="108"/>
      <c r="G19" s="108"/>
      <c r="H19" s="108"/>
      <c r="I19" s="126"/>
      <c r="J19" s="126"/>
      <c r="K19" s="125"/>
      <c r="L19" s="125"/>
      <c r="M19" s="125"/>
      <c r="N19" s="125"/>
      <c r="O19" s="125"/>
    </row>
    <row r="20" spans="2:15" ht="14" x14ac:dyDescent="0.3">
      <c r="B20" s="793" t="s">
        <v>356</v>
      </c>
      <c r="C20" s="794"/>
      <c r="D20" s="794"/>
      <c r="E20" s="794"/>
      <c r="F20" s="794"/>
      <c r="G20" s="794"/>
      <c r="H20" s="794"/>
      <c r="I20" s="794"/>
      <c r="J20" s="794"/>
      <c r="K20" s="794"/>
      <c r="L20" s="794"/>
      <c r="M20" s="794"/>
      <c r="N20" s="795"/>
      <c r="O20" s="124"/>
    </row>
    <row r="21" spans="2:15" ht="14" x14ac:dyDescent="0.3">
      <c r="B21" s="796"/>
      <c r="C21" s="797"/>
      <c r="D21" s="797"/>
      <c r="E21" s="797"/>
      <c r="F21" s="797"/>
      <c r="G21" s="797"/>
      <c r="H21" s="797"/>
      <c r="I21" s="797"/>
      <c r="J21" s="797"/>
      <c r="K21" s="797"/>
      <c r="L21" s="797"/>
      <c r="M21" s="797"/>
      <c r="N21" s="798"/>
      <c r="O21" s="123"/>
    </row>
    <row r="22" spans="2:15" ht="14" x14ac:dyDescent="0.3">
      <c r="B22" s="122"/>
      <c r="C22" s="122"/>
      <c r="D22" s="122"/>
      <c r="E22" s="122"/>
      <c r="F22" s="122"/>
      <c r="G22" s="122"/>
      <c r="H22" s="122"/>
      <c r="I22" s="122"/>
      <c r="J22" s="122"/>
      <c r="K22" s="122"/>
      <c r="L22" s="122"/>
      <c r="M22" s="122"/>
      <c r="N22" s="122"/>
      <c r="O22" s="121"/>
    </row>
    <row r="23" spans="2:15" ht="14" x14ac:dyDescent="0.3">
      <c r="B23" s="799" t="s">
        <v>355</v>
      </c>
      <c r="C23" s="799"/>
      <c r="D23" s="799"/>
      <c r="E23" s="799"/>
      <c r="F23" s="799"/>
      <c r="G23" s="799"/>
      <c r="H23" s="799"/>
      <c r="I23" s="799"/>
      <c r="J23" s="799"/>
      <c r="K23" s="799"/>
      <c r="L23" s="799"/>
      <c r="M23" s="799"/>
      <c r="N23" s="799"/>
      <c r="O23" s="799"/>
    </row>
    <row r="24" spans="2:15" ht="14" x14ac:dyDescent="0.3">
      <c r="B24" s="800" t="s">
        <v>354</v>
      </c>
      <c r="C24" s="800"/>
      <c r="D24" s="800"/>
      <c r="E24" s="800"/>
      <c r="F24" s="800"/>
      <c r="G24" s="800"/>
      <c r="H24" s="800"/>
      <c r="I24" s="800"/>
      <c r="J24" s="800"/>
      <c r="K24" s="800"/>
      <c r="L24" s="800"/>
      <c r="M24" s="800"/>
      <c r="N24" s="800"/>
      <c r="O24" s="800"/>
    </row>
    <row r="25" spans="2:15" ht="14" x14ac:dyDescent="0.3">
      <c r="B25" s="120"/>
      <c r="C25" s="90"/>
      <c r="D25" s="90"/>
      <c r="E25" s="90"/>
      <c r="F25" s="90"/>
      <c r="G25" s="90"/>
      <c r="H25" s="90"/>
      <c r="I25" s="90"/>
      <c r="J25" s="90"/>
      <c r="K25" s="90"/>
      <c r="L25" s="90"/>
      <c r="M25" s="90"/>
      <c r="N25" s="119"/>
      <c r="O25" s="90"/>
    </row>
    <row r="26" spans="2:15" ht="22.5" customHeight="1" x14ac:dyDescent="0.3">
      <c r="B26" s="772" t="s">
        <v>345</v>
      </c>
      <c r="C26" s="772"/>
      <c r="D26" s="772"/>
      <c r="E26" s="772"/>
      <c r="F26" s="772"/>
      <c r="G26" s="772"/>
      <c r="H26" s="772"/>
      <c r="I26" s="772"/>
      <c r="J26" s="772"/>
      <c r="K26" s="772"/>
      <c r="L26" s="772"/>
      <c r="M26" s="772"/>
      <c r="N26" s="772"/>
      <c r="O26" s="772"/>
    </row>
    <row r="27" spans="2:15" ht="14" x14ac:dyDescent="0.3">
      <c r="B27" s="801" t="s">
        <v>353</v>
      </c>
      <c r="C27" s="802"/>
      <c r="D27" s="802"/>
      <c r="E27" s="802"/>
      <c r="F27" s="802"/>
      <c r="G27" s="802"/>
      <c r="H27" s="802"/>
      <c r="I27" s="802"/>
      <c r="J27" s="802"/>
      <c r="K27" s="802"/>
      <c r="L27" s="802"/>
      <c r="M27" s="802"/>
      <c r="N27" s="802"/>
      <c r="O27" s="803"/>
    </row>
    <row r="28" spans="2:15" ht="14" x14ac:dyDescent="0.3">
      <c r="B28" s="804"/>
      <c r="C28" s="805"/>
      <c r="D28" s="805"/>
      <c r="E28" s="805"/>
      <c r="F28" s="805"/>
      <c r="G28" s="805"/>
      <c r="H28" s="805"/>
      <c r="I28" s="805"/>
      <c r="J28" s="805"/>
      <c r="K28" s="805"/>
      <c r="L28" s="805"/>
      <c r="M28" s="805"/>
      <c r="N28" s="805"/>
      <c r="O28" s="806"/>
    </row>
    <row r="29" spans="2:15" ht="14" x14ac:dyDescent="0.3">
      <c r="B29" s="807"/>
      <c r="C29" s="808"/>
      <c r="D29" s="808"/>
      <c r="E29" s="808"/>
      <c r="F29" s="808"/>
      <c r="G29" s="808"/>
      <c r="H29" s="808"/>
      <c r="I29" s="808"/>
      <c r="J29" s="808"/>
      <c r="K29" s="808"/>
      <c r="L29" s="808"/>
      <c r="M29" s="808"/>
      <c r="N29" s="808"/>
      <c r="O29" s="809"/>
    </row>
    <row r="30" spans="2:15" ht="14" x14ac:dyDescent="0.3">
      <c r="B30" s="119"/>
      <c r="C30" s="119"/>
      <c r="D30" s="119"/>
      <c r="E30" s="119"/>
      <c r="F30" s="119"/>
      <c r="G30" s="119"/>
      <c r="H30" s="119"/>
      <c r="I30" s="119"/>
      <c r="J30" s="119"/>
      <c r="K30" s="119"/>
      <c r="L30" s="119"/>
      <c r="M30" s="119"/>
      <c r="N30" s="119"/>
      <c r="O30" s="119"/>
    </row>
    <row r="31" spans="2:15" ht="14" x14ac:dyDescent="0.3">
      <c r="B31" s="102" t="s">
        <v>346</v>
      </c>
      <c r="C31" s="108"/>
      <c r="D31" s="108"/>
      <c r="E31" s="108"/>
      <c r="N31" s="118"/>
      <c r="O31" s="118"/>
    </row>
    <row r="32" spans="2:15" ht="22.5" customHeight="1" x14ac:dyDescent="0.3">
      <c r="B32" s="782"/>
      <c r="C32" s="783"/>
      <c r="D32" s="783"/>
      <c r="E32" s="783"/>
      <c r="F32" s="783"/>
      <c r="G32" s="783"/>
      <c r="H32" s="783"/>
      <c r="I32" s="783"/>
      <c r="J32" s="783"/>
      <c r="K32" s="784"/>
      <c r="L32" s="110"/>
      <c r="M32" s="110"/>
      <c r="N32" s="110"/>
      <c r="O32" s="110"/>
    </row>
    <row r="33" spans="2:15" ht="22.5" customHeight="1" x14ac:dyDescent="0.3">
      <c r="B33" s="111"/>
      <c r="C33" s="111"/>
      <c r="D33" s="111"/>
      <c r="E33" s="111"/>
      <c r="F33" s="111"/>
      <c r="G33" s="111"/>
      <c r="H33" s="111"/>
      <c r="I33" s="111"/>
      <c r="J33" s="111"/>
      <c r="K33" s="111"/>
      <c r="L33" s="110"/>
      <c r="M33" s="110"/>
      <c r="N33" s="110"/>
      <c r="O33" s="110"/>
    </row>
    <row r="34" spans="2:15" ht="14" x14ac:dyDescent="0.3">
      <c r="B34" s="102" t="s">
        <v>347</v>
      </c>
      <c r="C34" s="108"/>
      <c r="D34" s="108"/>
      <c r="E34" s="108"/>
      <c r="K34" s="102" t="s">
        <v>348</v>
      </c>
      <c r="L34" s="109"/>
      <c r="N34" s="117"/>
      <c r="O34" s="117"/>
    </row>
    <row r="35" spans="2:15" ht="22.5" customHeight="1" x14ac:dyDescent="0.3">
      <c r="B35" s="782"/>
      <c r="C35" s="783"/>
      <c r="D35" s="783"/>
      <c r="E35" s="783"/>
      <c r="F35" s="783"/>
      <c r="G35" s="783"/>
      <c r="H35" s="783"/>
      <c r="I35" s="784"/>
      <c r="K35" s="785"/>
      <c r="L35" s="786"/>
      <c r="M35" s="787"/>
      <c r="N35" s="112"/>
      <c r="O35" s="112"/>
    </row>
    <row r="36" spans="2:15" ht="22.5" customHeight="1" x14ac:dyDescent="0.3">
      <c r="B36" s="111"/>
      <c r="C36" s="111"/>
      <c r="D36" s="111"/>
      <c r="E36" s="111"/>
      <c r="F36" s="111"/>
      <c r="G36" s="111"/>
      <c r="H36" s="111"/>
      <c r="I36" s="111"/>
      <c r="K36" s="113"/>
      <c r="L36" s="113"/>
      <c r="M36" s="113"/>
      <c r="N36" s="112"/>
      <c r="O36" s="112"/>
    </row>
    <row r="37" spans="2:15" ht="14" x14ac:dyDescent="0.3">
      <c r="B37" s="102" t="s">
        <v>349</v>
      </c>
      <c r="C37" s="108"/>
      <c r="D37" s="108"/>
      <c r="E37" s="108"/>
      <c r="K37" s="102" t="s">
        <v>350</v>
      </c>
      <c r="L37" s="109"/>
      <c r="N37" s="117"/>
      <c r="O37" s="117"/>
    </row>
    <row r="38" spans="2:15" ht="22.5" customHeight="1" x14ac:dyDescent="0.3">
      <c r="B38" s="782"/>
      <c r="C38" s="783"/>
      <c r="D38" s="783"/>
      <c r="E38" s="783"/>
      <c r="F38" s="783"/>
      <c r="G38" s="783"/>
      <c r="H38" s="783"/>
      <c r="I38" s="784"/>
      <c r="K38" s="785"/>
      <c r="L38" s="786"/>
      <c r="M38" s="787"/>
    </row>
    <row r="39" spans="2:15" ht="15" customHeight="1" x14ac:dyDescent="0.3">
      <c r="B39" s="111"/>
      <c r="C39" s="111"/>
      <c r="D39" s="111"/>
      <c r="E39" s="111"/>
      <c r="F39" s="111"/>
      <c r="G39" s="111"/>
      <c r="H39" s="111"/>
      <c r="I39" s="111"/>
      <c r="K39" s="113"/>
      <c r="L39" s="113"/>
      <c r="M39" s="113"/>
    </row>
    <row r="40" spans="2:15" ht="14" hidden="1" x14ac:dyDescent="0.3"/>
    <row r="41" spans="2:15" ht="14" hidden="1" x14ac:dyDescent="0.3"/>
    <row r="42" spans="2:15" ht="14" hidden="1" x14ac:dyDescent="0.3"/>
  </sheetData>
  <mergeCells count="18">
    <mergeCell ref="B15:O15"/>
    <mergeCell ref="B7:O8"/>
    <mergeCell ref="B10:O10"/>
    <mergeCell ref="C13:J13"/>
    <mergeCell ref="E4:H4"/>
    <mergeCell ref="B38:I38"/>
    <mergeCell ref="K38:M38"/>
    <mergeCell ref="I17:J17"/>
    <mergeCell ref="K17:O18"/>
    <mergeCell ref="I18:J18"/>
    <mergeCell ref="B20:N21"/>
    <mergeCell ref="B23:O23"/>
    <mergeCell ref="B24:O24"/>
    <mergeCell ref="B26:O26"/>
    <mergeCell ref="B27:O29"/>
    <mergeCell ref="B32:K32"/>
    <mergeCell ref="B35:I35"/>
    <mergeCell ref="K35:M35"/>
  </mergeCells>
  <pageMargins left="0.5" right="0.5" top="0.75" bottom="0.75" header="0.15" footer="0.3"/>
  <pageSetup scale="91" fitToHeight="0" orientation="portrait" r:id="rId1"/>
  <headerFooter>
    <oddHeader>&amp;L&amp;"Arial,Bold"&amp;16&amp;K10A3C8Schedule C&amp;"Arial,Regular"&amp;K004F6C
&amp;14BC Hydro incentive project invoices and implementation support documents</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4577" r:id="rId5" name="Check Box 1">
              <controlPr defaultSize="0" autoFill="0" autoLine="0" autoPict="0">
                <anchor moveWithCells="1">
                  <from>
                    <xdr:col>14</xdr:col>
                    <xdr:colOff>152400</xdr:colOff>
                    <xdr:row>19</xdr:row>
                    <xdr:rowOff>107950</xdr:rowOff>
                  </from>
                  <to>
                    <xdr:col>14</xdr:col>
                    <xdr:colOff>412750</xdr:colOff>
                    <xdr:row>20</xdr:row>
                    <xdr:rowOff>107950</xdr:rowOff>
                  </to>
                </anchor>
              </controlPr>
            </control>
          </mc:Choice>
        </mc:AlternateContent>
        <mc:AlternateContent xmlns:mc="http://schemas.openxmlformats.org/markup-compatibility/2006">
          <mc:Choice Requires="x14">
            <control shapeId="24578" r:id="rId6" name="Group Box 2">
              <controlPr defaultSize="0" autoFill="0" autoPict="0">
                <anchor moveWithCells="1">
                  <from>
                    <xdr:col>4</xdr:col>
                    <xdr:colOff>38100</xdr:colOff>
                    <xdr:row>22</xdr:row>
                    <xdr:rowOff>12700</xdr:rowOff>
                  </from>
                  <to>
                    <xdr:col>8</xdr:col>
                    <xdr:colOff>317500</xdr:colOff>
                    <xdr:row>23</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7788-17E0-4DD9-A01B-0C53F764E349}">
  <sheetPr>
    <tabColor theme="1"/>
    <pageSetUpPr fitToPage="1"/>
  </sheetPr>
  <dimension ref="B37:E48"/>
  <sheetViews>
    <sheetView topLeftCell="A30" workbookViewId="0">
      <selection activeCell="A24" sqref="A24:M25"/>
    </sheetView>
  </sheetViews>
  <sheetFormatPr defaultRowHeight="14.5" x14ac:dyDescent="0.35"/>
  <cols>
    <col min="2" max="4" width="15.1796875" customWidth="1"/>
  </cols>
  <sheetData>
    <row r="37" spans="2:5" x14ac:dyDescent="0.35">
      <c r="B37" s="335" t="s">
        <v>474</v>
      </c>
    </row>
    <row r="39" spans="2:5" x14ac:dyDescent="0.35">
      <c r="B39" s="1" t="s">
        <v>475</v>
      </c>
      <c r="C39" s="1" t="s">
        <v>476</v>
      </c>
      <c r="D39" s="1" t="s">
        <v>71</v>
      </c>
      <c r="E39" s="1" t="s">
        <v>478</v>
      </c>
    </row>
    <row r="40" spans="2:5" x14ac:dyDescent="0.35">
      <c r="B40" t="s">
        <v>477</v>
      </c>
      <c r="C40" t="s">
        <v>477</v>
      </c>
      <c r="D40" t="s">
        <v>477</v>
      </c>
      <c r="E40" t="s">
        <v>487</v>
      </c>
    </row>
    <row r="41" spans="2:5" x14ac:dyDescent="0.35">
      <c r="B41" t="s">
        <v>477</v>
      </c>
      <c r="C41" t="s">
        <v>477</v>
      </c>
      <c r="D41" t="s">
        <v>479</v>
      </c>
      <c r="E41" t="s">
        <v>486</v>
      </c>
    </row>
    <row r="42" spans="2:5" x14ac:dyDescent="0.35">
      <c r="B42" t="s">
        <v>480</v>
      </c>
      <c r="C42" t="s">
        <v>479</v>
      </c>
      <c r="D42" t="s">
        <v>479</v>
      </c>
      <c r="E42" t="s">
        <v>485</v>
      </c>
    </row>
    <row r="43" spans="2:5" x14ac:dyDescent="0.35">
      <c r="B43" t="s">
        <v>479</v>
      </c>
      <c r="C43" t="s">
        <v>477</v>
      </c>
      <c r="D43" t="s">
        <v>477</v>
      </c>
      <c r="E43" t="s">
        <v>483</v>
      </c>
    </row>
    <row r="44" spans="2:5" x14ac:dyDescent="0.35">
      <c r="B44" t="s">
        <v>479</v>
      </c>
      <c r="C44" t="s">
        <v>477</v>
      </c>
      <c r="D44" t="s">
        <v>479</v>
      </c>
      <c r="E44" t="s">
        <v>481</v>
      </c>
    </row>
    <row r="45" spans="2:5" x14ac:dyDescent="0.35">
      <c r="B45" t="s">
        <v>479</v>
      </c>
      <c r="C45" t="s">
        <v>479</v>
      </c>
      <c r="D45" t="s">
        <v>477</v>
      </c>
      <c r="E45" t="s">
        <v>482</v>
      </c>
    </row>
    <row r="46" spans="2:5" x14ac:dyDescent="0.35">
      <c r="B46" t="s">
        <v>479</v>
      </c>
      <c r="C46" t="s">
        <v>479</v>
      </c>
      <c r="D46" t="s">
        <v>479</v>
      </c>
      <c r="E46" t="s">
        <v>484</v>
      </c>
    </row>
    <row r="48" spans="2:5" x14ac:dyDescent="0.35">
      <c r="B48" t="s">
        <v>707</v>
      </c>
    </row>
  </sheetData>
  <pageMargins left="0.7" right="0.7" top="0.75" bottom="0.75" header="0.3" footer="0.3"/>
  <pageSetup scale="4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9880-B754-4E28-A957-798744C92A54}">
  <sheetPr codeName="Sheet5">
    <tabColor theme="1"/>
    <pageSetUpPr fitToPage="1"/>
  </sheetPr>
  <dimension ref="A1:X71"/>
  <sheetViews>
    <sheetView topLeftCell="N1" zoomScale="85" zoomScaleNormal="85" workbookViewId="0">
      <selection activeCell="U59" sqref="U59"/>
    </sheetView>
  </sheetViews>
  <sheetFormatPr defaultColWidth="8.81640625" defaultRowHeight="14" x14ac:dyDescent="0.3"/>
  <cols>
    <col min="1" max="1" width="14.1796875" style="24" customWidth="1"/>
    <col min="2" max="3" width="8.81640625" style="24"/>
    <col min="4" max="4" width="4.54296875" style="24" customWidth="1"/>
    <col min="5" max="5" width="17.54296875" style="24" customWidth="1"/>
    <col min="6" max="6" width="21" style="24" customWidth="1"/>
    <col min="7" max="7" width="30" style="24" customWidth="1"/>
    <col min="8" max="8" width="23.81640625" style="24" customWidth="1"/>
    <col min="9" max="9" width="17.54296875" style="24" customWidth="1"/>
    <col min="10" max="10" width="6.453125" style="24" customWidth="1"/>
    <col min="11" max="11" width="20.54296875" style="24" customWidth="1"/>
    <col min="12" max="12" width="20.1796875" style="24" bestFit="1" customWidth="1"/>
    <col min="13" max="13" width="21.1796875" style="24" bestFit="1" customWidth="1"/>
    <col min="14" max="14" width="16.81640625" style="24" bestFit="1" customWidth="1"/>
    <col min="15" max="15" width="21.453125" style="24" customWidth="1"/>
    <col min="16" max="16" width="18.81640625" style="24" bestFit="1" customWidth="1"/>
    <col min="17" max="17" width="16.81640625" style="24" bestFit="1" customWidth="1"/>
    <col min="18" max="18" width="26.81640625" style="24" bestFit="1" customWidth="1"/>
    <col min="19" max="19" width="21.1796875" style="24" bestFit="1" customWidth="1"/>
    <col min="20" max="20" width="18.81640625" style="24" customWidth="1"/>
    <col min="21" max="21" width="14.1796875" style="24" bestFit="1" customWidth="1"/>
    <col min="22" max="16384" width="8.81640625" style="24"/>
  </cols>
  <sheetData>
    <row r="1" spans="1:24" x14ac:dyDescent="0.3">
      <c r="C1" s="24" t="s">
        <v>59</v>
      </c>
      <c r="J1" s="24" t="s">
        <v>60</v>
      </c>
      <c r="R1" s="24" t="s">
        <v>61</v>
      </c>
    </row>
    <row r="2" spans="1:24" ht="14.5" x14ac:dyDescent="0.35">
      <c r="A2" s="24" t="s">
        <v>62</v>
      </c>
      <c r="B2" s="24" t="s">
        <v>63</v>
      </c>
      <c r="C2" s="24" t="s">
        <v>64</v>
      </c>
      <c r="E2" s="24" t="s">
        <v>65</v>
      </c>
      <c r="J2" s="24" t="s">
        <v>66</v>
      </c>
      <c r="K2" s="25" t="s">
        <v>67</v>
      </c>
      <c r="L2" s="25" t="s">
        <v>606</v>
      </c>
      <c r="M2" s="25" t="s">
        <v>605</v>
      </c>
      <c r="N2" s="25" t="s">
        <v>608</v>
      </c>
      <c r="O2" s="25" t="s">
        <v>630</v>
      </c>
      <c r="P2" s="25" t="s">
        <v>453</v>
      </c>
      <c r="Q2" s="25" t="s">
        <v>69</v>
      </c>
      <c r="R2" s="25" t="s">
        <v>70</v>
      </c>
      <c r="S2" s="26" t="s">
        <v>71</v>
      </c>
      <c r="T2" s="27" t="s">
        <v>72</v>
      </c>
      <c r="U2" s="28" t="s">
        <v>73</v>
      </c>
      <c r="V2" s="28" t="s">
        <v>74</v>
      </c>
      <c r="W2" s="28" t="s">
        <v>75</v>
      </c>
      <c r="X2" s="28" t="s">
        <v>76</v>
      </c>
    </row>
    <row r="3" spans="1:24" x14ac:dyDescent="0.3">
      <c r="A3" s="24" t="e">
        <f>VLOOKUP('Project Info'!E22,NLVar!A8:B11,2,FALSE)</f>
        <v>#N/A</v>
      </c>
      <c r="B3" s="24" t="e">
        <f>VLOOKUP('Project Info'!E24,NLVar!A8:B11,2,FALSE)</f>
        <v>#N/A</v>
      </c>
      <c r="C3" s="24" t="s">
        <v>77</v>
      </c>
      <c r="E3" s="29" t="s">
        <v>71</v>
      </c>
      <c r="F3" s="29" t="s">
        <v>75</v>
      </c>
      <c r="G3" s="29" t="s">
        <v>78</v>
      </c>
      <c r="H3" s="29" t="s">
        <v>70</v>
      </c>
      <c r="J3" s="24">
        <v>1</v>
      </c>
      <c r="K3" s="30" t="s">
        <v>410</v>
      </c>
      <c r="L3" s="30" t="s">
        <v>497</v>
      </c>
      <c r="M3" s="30" t="s">
        <v>497</v>
      </c>
      <c r="N3" s="30" t="s">
        <v>497</v>
      </c>
      <c r="O3" s="30" t="s">
        <v>497</v>
      </c>
      <c r="P3" s="30" t="s">
        <v>497</v>
      </c>
      <c r="Q3" s="30" t="s">
        <v>498</v>
      </c>
      <c r="R3" s="30" t="s">
        <v>80</v>
      </c>
      <c r="S3" s="30" t="s">
        <v>604</v>
      </c>
      <c r="T3" s="30" t="s">
        <v>410</v>
      </c>
      <c r="U3" s="30" t="s">
        <v>463</v>
      </c>
      <c r="V3" s="30" t="s">
        <v>497</v>
      </c>
      <c r="W3" s="24" t="s">
        <v>458</v>
      </c>
      <c r="X3" s="24" t="s">
        <v>832</v>
      </c>
    </row>
    <row r="4" spans="1:24" x14ac:dyDescent="0.3">
      <c r="A4" s="24" t="e">
        <f>VLOOKUP('Project Info'!E22,NLVar!A8:C11,3,FALSE)</f>
        <v>#N/A</v>
      </c>
      <c r="B4" s="24" t="e">
        <f>VLOOKUP('Project Info'!E24,NLVar!A8:C11,3,FALSE)</f>
        <v>#N/A</v>
      </c>
      <c r="C4" s="24" t="s">
        <v>81</v>
      </c>
      <c r="E4" s="31" t="s">
        <v>753</v>
      </c>
      <c r="F4" s="31" t="s">
        <v>746</v>
      </c>
      <c r="G4" s="436" t="s">
        <v>745</v>
      </c>
      <c r="H4" s="31" t="s">
        <v>749</v>
      </c>
      <c r="J4" s="24">
        <v>2</v>
      </c>
      <c r="K4" s="30" t="s">
        <v>461</v>
      </c>
      <c r="L4" s="24" t="str">
        <f>""</f>
        <v/>
      </c>
      <c r="M4" s="24" t="str">
        <f>""</f>
        <v/>
      </c>
      <c r="N4" s="24" t="str">
        <f>""</f>
        <v/>
      </c>
      <c r="O4" s="24" t="str">
        <f>""</f>
        <v/>
      </c>
      <c r="P4" s="24" t="str">
        <f>""</f>
        <v/>
      </c>
      <c r="Q4" s="24" t="str">
        <f>""</f>
        <v/>
      </c>
      <c r="R4" s="30" t="s">
        <v>410</v>
      </c>
      <c r="S4" s="30" t="s">
        <v>410</v>
      </c>
      <c r="T4" s="30" t="s">
        <v>461</v>
      </c>
      <c r="U4" s="24" t="str">
        <f>""</f>
        <v/>
      </c>
      <c r="V4" s="30" t="s">
        <v>410</v>
      </c>
      <c r="W4" s="24" t="str">
        <f>""</f>
        <v/>
      </c>
      <c r="X4" s="24" t="str">
        <f>""</f>
        <v/>
      </c>
    </row>
    <row r="5" spans="1:24" x14ac:dyDescent="0.3">
      <c r="A5" s="24">
        <v>10.87</v>
      </c>
      <c r="C5" s="24" t="s">
        <v>86</v>
      </c>
      <c r="E5" s="31" t="s">
        <v>754</v>
      </c>
      <c r="F5" s="31"/>
      <c r="G5" s="31" t="s">
        <v>755</v>
      </c>
      <c r="H5" s="31" t="s">
        <v>750</v>
      </c>
      <c r="J5" s="24">
        <v>3</v>
      </c>
      <c r="K5" s="24" t="str">
        <f>""</f>
        <v/>
      </c>
      <c r="L5" s="24" t="str">
        <f>""</f>
        <v/>
      </c>
      <c r="M5" s="24" t="str">
        <f>""</f>
        <v/>
      </c>
      <c r="N5" s="24" t="str">
        <f>""</f>
        <v/>
      </c>
      <c r="O5" s="24" t="str">
        <f>""</f>
        <v/>
      </c>
      <c r="P5" s="24" t="str">
        <f>""</f>
        <v/>
      </c>
      <c r="Q5" s="24" t="str">
        <f>""</f>
        <v/>
      </c>
      <c r="R5" s="30" t="s">
        <v>459</v>
      </c>
      <c r="S5" s="24" t="str">
        <f>""</f>
        <v/>
      </c>
      <c r="T5" s="24" t="str">
        <f>""</f>
        <v/>
      </c>
      <c r="U5" s="24" t="str">
        <f>""</f>
        <v/>
      </c>
      <c r="V5" s="24" t="str">
        <f>""</f>
        <v/>
      </c>
      <c r="W5" s="24" t="str">
        <f>""</f>
        <v/>
      </c>
      <c r="X5" s="24" t="str">
        <f>""</f>
        <v/>
      </c>
    </row>
    <row r="6" spans="1:24" x14ac:dyDescent="0.3">
      <c r="E6" s="31"/>
      <c r="F6" s="31"/>
      <c r="G6" s="31" t="s">
        <v>756</v>
      </c>
      <c r="H6" s="31" t="s">
        <v>751</v>
      </c>
      <c r="J6" s="24">
        <v>4</v>
      </c>
      <c r="K6" s="24" t="str">
        <f>""</f>
        <v/>
      </c>
      <c r="L6" s="24" t="str">
        <f>""</f>
        <v/>
      </c>
      <c r="M6" s="24" t="str">
        <f>""</f>
        <v/>
      </c>
      <c r="N6" s="24" t="str">
        <f>""</f>
        <v/>
      </c>
      <c r="O6" s="24" t="str">
        <f>""</f>
        <v/>
      </c>
      <c r="P6" s="24" t="str">
        <f>""</f>
        <v/>
      </c>
      <c r="Q6" s="24" t="str">
        <f>""</f>
        <v/>
      </c>
      <c r="R6" s="24" t="str">
        <f>""</f>
        <v/>
      </c>
      <c r="S6" s="24" t="str">
        <f>""</f>
        <v/>
      </c>
      <c r="T6" s="24" t="str">
        <f>""</f>
        <v/>
      </c>
      <c r="U6" s="24" t="str">
        <f>""</f>
        <v/>
      </c>
      <c r="V6" s="24" t="str">
        <f>""</f>
        <v/>
      </c>
      <c r="W6" s="24" t="str">
        <f>""</f>
        <v/>
      </c>
      <c r="X6" s="24" t="str">
        <f>""</f>
        <v/>
      </c>
    </row>
    <row r="7" spans="1:24" x14ac:dyDescent="0.3">
      <c r="B7" s="24" t="s">
        <v>77</v>
      </c>
      <c r="C7" s="24" t="s">
        <v>81</v>
      </c>
      <c r="E7" s="31"/>
      <c r="F7" s="31"/>
      <c r="G7" s="31" t="s">
        <v>757</v>
      </c>
      <c r="H7" s="31"/>
      <c r="J7" s="24">
        <v>5</v>
      </c>
      <c r="K7" s="24" t="str">
        <f>""</f>
        <v/>
      </c>
      <c r="L7" s="24" t="str">
        <f>""</f>
        <v/>
      </c>
      <c r="M7" s="24" t="str">
        <f>""</f>
        <v/>
      </c>
      <c r="N7" s="24" t="str">
        <f>""</f>
        <v/>
      </c>
      <c r="O7" s="24" t="str">
        <f>""</f>
        <v/>
      </c>
      <c r="P7" s="24" t="str">
        <f>""</f>
        <v/>
      </c>
      <c r="Q7" s="24" t="str">
        <f>""</f>
        <v/>
      </c>
      <c r="R7" s="24" t="str">
        <f>""</f>
        <v/>
      </c>
      <c r="S7" s="24" t="str">
        <f>""</f>
        <v/>
      </c>
      <c r="T7" s="24" t="str">
        <f>""</f>
        <v/>
      </c>
      <c r="U7" s="24" t="str">
        <f>""</f>
        <v/>
      </c>
      <c r="V7" s="24" t="str">
        <f>""</f>
        <v/>
      </c>
      <c r="W7" s="24" t="str">
        <f>""</f>
        <v/>
      </c>
      <c r="X7" s="24" t="str">
        <f>""</f>
        <v/>
      </c>
    </row>
    <row r="8" spans="1:24" x14ac:dyDescent="0.3">
      <c r="A8" s="24" t="s">
        <v>96</v>
      </c>
      <c r="B8" s="24">
        <v>0.14080000000000001</v>
      </c>
      <c r="C8" s="24">
        <v>0</v>
      </c>
      <c r="E8" s="31"/>
      <c r="F8" s="31"/>
      <c r="G8" s="31" t="s">
        <v>747</v>
      </c>
      <c r="H8" s="31"/>
      <c r="J8" s="24">
        <v>6</v>
      </c>
      <c r="K8" s="24" t="str">
        <f>""</f>
        <v/>
      </c>
      <c r="L8" s="24" t="str">
        <f>""</f>
        <v/>
      </c>
      <c r="M8" s="24" t="str">
        <f>""</f>
        <v/>
      </c>
      <c r="N8" s="24" t="str">
        <f>""</f>
        <v/>
      </c>
      <c r="O8" s="24" t="str">
        <f>""</f>
        <v/>
      </c>
      <c r="P8" s="24" t="str">
        <f>""</f>
        <v/>
      </c>
      <c r="Q8" s="24" t="str">
        <f>""</f>
        <v/>
      </c>
      <c r="R8" s="24" t="str">
        <f>""</f>
        <v/>
      </c>
      <c r="S8" s="24" t="str">
        <f>""</f>
        <v/>
      </c>
      <c r="T8" s="24" t="str">
        <f>""</f>
        <v/>
      </c>
      <c r="U8" s="24" t="str">
        <f>""</f>
        <v/>
      </c>
      <c r="V8" s="24" t="str">
        <f>""</f>
        <v/>
      </c>
      <c r="W8" s="24" t="str">
        <f>""</f>
        <v/>
      </c>
      <c r="X8" s="24" t="str">
        <f>""</f>
        <v/>
      </c>
    </row>
    <row r="9" spans="1:24" x14ac:dyDescent="0.3">
      <c r="A9" s="24" t="s">
        <v>99</v>
      </c>
      <c r="B9" s="24">
        <v>0.13420000000000001</v>
      </c>
      <c r="C9" s="24">
        <v>0</v>
      </c>
      <c r="E9" s="31"/>
      <c r="F9" s="31"/>
      <c r="G9" s="31" t="s">
        <v>748</v>
      </c>
      <c r="H9" s="31"/>
    </row>
    <row r="10" spans="1:24" ht="14.5" x14ac:dyDescent="0.35">
      <c r="A10" s="24" t="s">
        <v>102</v>
      </c>
      <c r="B10" s="24">
        <v>0.10440000000000001</v>
      </c>
      <c r="C10" s="24">
        <v>5.83</v>
      </c>
      <c r="E10" s="31"/>
      <c r="F10" s="31"/>
      <c r="G10" s="31"/>
      <c r="H10" s="31"/>
      <c r="J10" s="24" t="s">
        <v>66</v>
      </c>
      <c r="K10" s="25" t="s">
        <v>67</v>
      </c>
      <c r="L10" s="25" t="s">
        <v>606</v>
      </c>
      <c r="M10" s="25" t="s">
        <v>605</v>
      </c>
      <c r="N10" s="25" t="s">
        <v>608</v>
      </c>
      <c r="O10" s="25" t="s">
        <v>630</v>
      </c>
      <c r="P10" s="25" t="s">
        <v>453</v>
      </c>
      <c r="Q10" s="25" t="s">
        <v>69</v>
      </c>
      <c r="R10" s="25" t="s">
        <v>70</v>
      </c>
      <c r="S10" s="26" t="s">
        <v>71</v>
      </c>
      <c r="T10" s="27" t="s">
        <v>72</v>
      </c>
      <c r="U10" s="28" t="s">
        <v>73</v>
      </c>
      <c r="V10" s="28" t="s">
        <v>74</v>
      </c>
      <c r="W10" s="28" t="s">
        <v>75</v>
      </c>
      <c r="X10" s="28" t="s">
        <v>76</v>
      </c>
    </row>
    <row r="11" spans="1:24" x14ac:dyDescent="0.3">
      <c r="A11" s="24" t="s">
        <v>106</v>
      </c>
      <c r="B11" s="24">
        <v>6.5299999999999997E-2</v>
      </c>
      <c r="C11" s="24">
        <v>13.3</v>
      </c>
      <c r="E11" s="31"/>
      <c r="F11" s="31"/>
      <c r="G11" s="31"/>
      <c r="H11" s="31"/>
      <c r="J11" s="24">
        <v>1</v>
      </c>
      <c r="K11" s="32" t="s">
        <v>460</v>
      </c>
      <c r="L11" s="32" t="s">
        <v>607</v>
      </c>
      <c r="M11" s="32" t="s">
        <v>460</v>
      </c>
      <c r="N11" s="32" t="s">
        <v>632</v>
      </c>
      <c r="O11" s="32" t="s">
        <v>460</v>
      </c>
      <c r="P11" s="32" t="s">
        <v>460</v>
      </c>
      <c r="Q11" s="32" t="s">
        <v>460</v>
      </c>
      <c r="R11" s="32" t="s">
        <v>459</v>
      </c>
      <c r="S11" s="32" t="s">
        <v>631</v>
      </c>
      <c r="T11" s="24" t="s">
        <v>460</v>
      </c>
      <c r="U11" s="32" t="s">
        <v>109</v>
      </c>
      <c r="V11" s="32" t="s">
        <v>109</v>
      </c>
      <c r="W11" s="24" t="s">
        <v>110</v>
      </c>
      <c r="X11" s="24" t="s">
        <v>828</v>
      </c>
    </row>
    <row r="12" spans="1:24" x14ac:dyDescent="0.3">
      <c r="E12" s="31"/>
      <c r="F12" s="31"/>
      <c r="G12" s="31"/>
      <c r="H12" s="31"/>
      <c r="J12" s="24">
        <v>2</v>
      </c>
      <c r="K12" s="24" t="s">
        <v>462</v>
      </c>
      <c r="L12" s="32" t="s">
        <v>633</v>
      </c>
      <c r="M12" s="32" t="s">
        <v>633</v>
      </c>
      <c r="N12" s="32" t="s">
        <v>633</v>
      </c>
      <c r="O12" s="32" t="s">
        <v>633</v>
      </c>
      <c r="P12" s="32" t="s">
        <v>632</v>
      </c>
      <c r="Q12" s="32" t="s">
        <v>114</v>
      </c>
      <c r="R12" s="32" t="s">
        <v>109</v>
      </c>
      <c r="S12" s="32" t="s">
        <v>109</v>
      </c>
      <c r="T12" s="24" t="s">
        <v>461</v>
      </c>
      <c r="U12" s="24" t="str">
        <f>""</f>
        <v/>
      </c>
      <c r="V12" s="24" t="str">
        <f>""</f>
        <v/>
      </c>
      <c r="W12" s="24" t="s">
        <v>464</v>
      </c>
      <c r="X12" s="24" t="s">
        <v>833</v>
      </c>
    </row>
    <row r="13" spans="1:24" x14ac:dyDescent="0.3">
      <c r="E13" s="31"/>
      <c r="F13" s="31"/>
      <c r="G13" s="31"/>
      <c r="H13" s="31"/>
      <c r="J13" s="24">
        <v>3</v>
      </c>
      <c r="K13" s="32" t="s">
        <v>109</v>
      </c>
      <c r="L13" s="32" t="s">
        <v>117</v>
      </c>
      <c r="M13" s="32" t="s">
        <v>117</v>
      </c>
      <c r="N13" s="32" t="s">
        <v>454</v>
      </c>
      <c r="O13" s="32" t="s">
        <v>454</v>
      </c>
      <c r="P13" s="32" t="s">
        <v>633</v>
      </c>
      <c r="Q13" s="32" t="s">
        <v>109</v>
      </c>
      <c r="R13" s="24" t="str">
        <f>""</f>
        <v/>
      </c>
      <c r="S13" s="24" t="str">
        <f>""</f>
        <v/>
      </c>
      <c r="T13" s="32" t="s">
        <v>109</v>
      </c>
      <c r="U13" s="24" t="str">
        <f>""</f>
        <v/>
      </c>
      <c r="V13" s="24" t="str">
        <f>""</f>
        <v/>
      </c>
      <c r="W13" s="32" t="s">
        <v>109</v>
      </c>
      <c r="X13" s="32" t="s">
        <v>830</v>
      </c>
    </row>
    <row r="14" spans="1:24" x14ac:dyDescent="0.3">
      <c r="E14" s="31"/>
      <c r="F14" s="31"/>
      <c r="G14" s="31"/>
      <c r="H14" s="31"/>
      <c r="J14" s="24">
        <v>4</v>
      </c>
      <c r="K14" s="24" t="str">
        <f>""</f>
        <v/>
      </c>
      <c r="L14" s="32" t="s">
        <v>120</v>
      </c>
      <c r="M14" s="32" t="s">
        <v>120</v>
      </c>
      <c r="N14" s="32" t="s">
        <v>455</v>
      </c>
      <c r="O14" s="32" t="s">
        <v>455</v>
      </c>
      <c r="P14" s="235" t="s">
        <v>454</v>
      </c>
      <c r="Q14" s="24" t="str">
        <f>""</f>
        <v/>
      </c>
      <c r="R14" s="24" t="str">
        <f>""</f>
        <v/>
      </c>
      <c r="S14" s="24" t="str">
        <f>""</f>
        <v/>
      </c>
      <c r="T14" s="24" t="str">
        <f>""</f>
        <v/>
      </c>
      <c r="U14" s="24" t="str">
        <f>""</f>
        <v/>
      </c>
      <c r="V14" s="24" t="str">
        <f>""</f>
        <v/>
      </c>
      <c r="W14" s="24" t="str">
        <f>""</f>
        <v/>
      </c>
      <c r="X14" s="32" t="s">
        <v>109</v>
      </c>
    </row>
    <row r="15" spans="1:24" x14ac:dyDescent="0.3">
      <c r="E15" s="31"/>
      <c r="F15" s="31"/>
      <c r="G15" s="31"/>
      <c r="H15" s="31"/>
      <c r="J15" s="24">
        <v>5</v>
      </c>
      <c r="K15" s="24" t="str">
        <f>""</f>
        <v/>
      </c>
      <c r="L15" s="32" t="s">
        <v>109</v>
      </c>
      <c r="M15" s="32" t="s">
        <v>109</v>
      </c>
      <c r="N15" s="32" t="s">
        <v>109</v>
      </c>
      <c r="O15" s="32" t="s">
        <v>109</v>
      </c>
      <c r="P15" s="235" t="s">
        <v>109</v>
      </c>
      <c r="Q15" s="24" t="str">
        <f>""</f>
        <v/>
      </c>
      <c r="R15" s="24" t="str">
        <f>""</f>
        <v/>
      </c>
      <c r="S15" s="24" t="str">
        <f>""</f>
        <v/>
      </c>
      <c r="T15" s="24" t="str">
        <f>""</f>
        <v/>
      </c>
      <c r="U15" s="24" t="str">
        <f>""</f>
        <v/>
      </c>
      <c r="V15" s="24" t="str">
        <f>""</f>
        <v/>
      </c>
      <c r="W15" s="24" t="str">
        <f>""</f>
        <v/>
      </c>
      <c r="X15" s="24" t="str">
        <f>""</f>
        <v/>
      </c>
    </row>
    <row r="16" spans="1:24" x14ac:dyDescent="0.3">
      <c r="E16" s="31"/>
      <c r="F16" s="31"/>
      <c r="G16" s="31"/>
      <c r="H16" s="31"/>
      <c r="J16" s="24">
        <v>6</v>
      </c>
      <c r="K16" s="24" t="str">
        <f>""</f>
        <v/>
      </c>
      <c r="M16" s="24" t="str">
        <f>""</f>
        <v/>
      </c>
      <c r="Q16" s="24" t="str">
        <f>""</f>
        <v/>
      </c>
      <c r="R16" s="24" t="str">
        <f>""</f>
        <v/>
      </c>
      <c r="S16" s="24" t="str">
        <f>""</f>
        <v/>
      </c>
      <c r="T16" s="24" t="str">
        <f>""</f>
        <v/>
      </c>
      <c r="U16" s="24" t="str">
        <f>""</f>
        <v/>
      </c>
      <c r="V16" s="24" t="str">
        <f>""</f>
        <v/>
      </c>
      <c r="W16" s="24" t="str">
        <f>""</f>
        <v/>
      </c>
      <c r="X16" s="24" t="str">
        <f>""</f>
        <v/>
      </c>
    </row>
    <row r="17" spans="1:8" x14ac:dyDescent="0.3">
      <c r="A17" s="33" t="s">
        <v>125</v>
      </c>
      <c r="B17" s="34"/>
      <c r="C17" s="34"/>
      <c r="E17" s="31"/>
      <c r="F17" s="31"/>
      <c r="G17" s="31"/>
      <c r="H17" s="31"/>
    </row>
    <row r="18" spans="1:8" x14ac:dyDescent="0.3">
      <c r="E18" s="31"/>
      <c r="F18" s="31"/>
      <c r="G18" s="31"/>
      <c r="H18" s="31"/>
    </row>
    <row r="19" spans="1:8" x14ac:dyDescent="0.3">
      <c r="A19" s="35" t="s">
        <v>129</v>
      </c>
      <c r="B19" s="35"/>
      <c r="C19" s="35"/>
      <c r="E19" s="36"/>
      <c r="F19" s="36"/>
      <c r="G19" s="36"/>
      <c r="H19" s="36"/>
    </row>
    <row r="21" spans="1:8" x14ac:dyDescent="0.3">
      <c r="A21" s="37" t="s">
        <v>131</v>
      </c>
      <c r="B21" s="37"/>
      <c r="C21" s="37"/>
      <c r="E21" s="24" t="s">
        <v>132</v>
      </c>
    </row>
    <row r="22" spans="1:8" x14ac:dyDescent="0.3">
      <c r="E22" s="38" t="s">
        <v>71</v>
      </c>
      <c r="F22" s="38" t="s">
        <v>78</v>
      </c>
      <c r="G22" s="39"/>
    </row>
    <row r="23" spans="1:8" ht="14.5" x14ac:dyDescent="0.35">
      <c r="A23" s="40" t="s">
        <v>133</v>
      </c>
      <c r="B23" s="40"/>
      <c r="C23" s="40"/>
      <c r="E23" s="41" t="s">
        <v>753</v>
      </c>
      <c r="F23" s="435" t="s">
        <v>745</v>
      </c>
    </row>
    <row r="24" spans="1:8" x14ac:dyDescent="0.3">
      <c r="E24" s="41" t="s">
        <v>754</v>
      </c>
      <c r="F24" s="41" t="s">
        <v>755</v>
      </c>
    </row>
    <row r="25" spans="1:8" ht="18.5" x14ac:dyDescent="0.45">
      <c r="A25" s="42" t="s">
        <v>134</v>
      </c>
      <c r="B25" s="42"/>
      <c r="C25" s="42"/>
      <c r="E25" s="41"/>
      <c r="F25" s="41" t="s">
        <v>756</v>
      </c>
    </row>
    <row r="26" spans="1:8" x14ac:dyDescent="0.3">
      <c r="E26" s="41"/>
      <c r="F26" s="41" t="s">
        <v>757</v>
      </c>
    </row>
    <row r="27" spans="1:8" x14ac:dyDescent="0.3">
      <c r="E27" s="41"/>
      <c r="F27" s="41" t="s">
        <v>747</v>
      </c>
    </row>
    <row r="28" spans="1:8" x14ac:dyDescent="0.3">
      <c r="E28" s="43"/>
      <c r="F28" s="41" t="s">
        <v>748</v>
      </c>
    </row>
    <row r="29" spans="1:8" x14ac:dyDescent="0.3">
      <c r="E29" s="43"/>
      <c r="F29" s="41"/>
    </row>
    <row r="30" spans="1:8" x14ac:dyDescent="0.3">
      <c r="E30" s="43"/>
      <c r="F30" s="41"/>
    </row>
    <row r="31" spans="1:8" x14ac:dyDescent="0.3">
      <c r="E31" s="43"/>
      <c r="F31" s="41"/>
    </row>
    <row r="32" spans="1:8" x14ac:dyDescent="0.3">
      <c r="E32" s="43"/>
      <c r="F32" s="41"/>
    </row>
    <row r="33" spans="5:10" x14ac:dyDescent="0.3">
      <c r="E33" s="43"/>
      <c r="F33" s="41"/>
    </row>
    <row r="34" spans="5:10" ht="14.5" customHeight="1" x14ac:dyDescent="0.3">
      <c r="E34" s="43"/>
      <c r="F34" s="41"/>
    </row>
    <row r="40" spans="5:10" x14ac:dyDescent="0.3">
      <c r="E40" s="24" t="s">
        <v>71</v>
      </c>
      <c r="F40" s="24" t="s">
        <v>75</v>
      </c>
      <c r="G40" s="24" t="s">
        <v>78</v>
      </c>
      <c r="H40" s="24" t="s">
        <v>70</v>
      </c>
      <c r="I40" s="24" t="s">
        <v>72</v>
      </c>
      <c r="J40" s="420" t="s">
        <v>79</v>
      </c>
    </row>
    <row r="41" spans="5:10" x14ac:dyDescent="0.3">
      <c r="E41" s="24" t="s">
        <v>82</v>
      </c>
      <c r="F41" s="24" t="s">
        <v>322</v>
      </c>
      <c r="G41" s="24" t="s">
        <v>445</v>
      </c>
      <c r="H41" s="24" t="s">
        <v>84</v>
      </c>
      <c r="I41" s="24" t="s">
        <v>85</v>
      </c>
      <c r="J41" s="420" t="s">
        <v>83</v>
      </c>
    </row>
    <row r="42" spans="5:10" x14ac:dyDescent="0.3">
      <c r="E42" s="24" t="s">
        <v>87</v>
      </c>
      <c r="G42" s="24" t="s">
        <v>603</v>
      </c>
      <c r="H42" s="24" t="s">
        <v>90</v>
      </c>
      <c r="I42" s="24" t="s">
        <v>91</v>
      </c>
      <c r="J42" s="24" t="s">
        <v>89</v>
      </c>
    </row>
    <row r="43" spans="5:10" x14ac:dyDescent="0.3">
      <c r="G43" s="24" t="s">
        <v>447</v>
      </c>
      <c r="H43" s="24" t="s">
        <v>93</v>
      </c>
      <c r="I43" s="24" t="s">
        <v>91</v>
      </c>
      <c r="J43" s="24" t="s">
        <v>92</v>
      </c>
    </row>
    <row r="44" spans="5:10" x14ac:dyDescent="0.3">
      <c r="G44" s="24" t="s">
        <v>103</v>
      </c>
      <c r="I44" s="24" t="s">
        <v>95</v>
      </c>
      <c r="J44" s="24" t="s">
        <v>94</v>
      </c>
    </row>
    <row r="45" spans="5:10" x14ac:dyDescent="0.3">
      <c r="I45" s="24" t="s">
        <v>98</v>
      </c>
      <c r="J45" s="24" t="s">
        <v>97</v>
      </c>
    </row>
    <row r="46" spans="5:10" x14ac:dyDescent="0.3">
      <c r="I46" s="24" t="s">
        <v>101</v>
      </c>
      <c r="J46" s="24" t="s">
        <v>100</v>
      </c>
    </row>
    <row r="47" spans="5:10" x14ac:dyDescent="0.3">
      <c r="I47" s="24" t="s">
        <v>105</v>
      </c>
      <c r="J47" s="24" t="s">
        <v>104</v>
      </c>
    </row>
    <row r="48" spans="5:10" x14ac:dyDescent="0.3">
      <c r="I48" s="24" t="s">
        <v>108</v>
      </c>
      <c r="J48" s="24" t="s">
        <v>107</v>
      </c>
    </row>
    <row r="49" spans="5:10" x14ac:dyDescent="0.3">
      <c r="I49" s="24" t="s">
        <v>113</v>
      </c>
      <c r="J49" s="24" t="s">
        <v>112</v>
      </c>
    </row>
    <row r="50" spans="5:10" x14ac:dyDescent="0.3">
      <c r="I50" s="24" t="s">
        <v>116</v>
      </c>
      <c r="J50" s="24" t="s">
        <v>115</v>
      </c>
    </row>
    <row r="51" spans="5:10" x14ac:dyDescent="0.3">
      <c r="I51" s="24" t="s">
        <v>119</v>
      </c>
      <c r="J51" s="24" t="s">
        <v>118</v>
      </c>
    </row>
    <row r="52" spans="5:10" x14ac:dyDescent="0.3">
      <c r="I52" s="24" t="s">
        <v>122</v>
      </c>
      <c r="J52" s="24" t="s">
        <v>121</v>
      </c>
    </row>
    <row r="53" spans="5:10" x14ac:dyDescent="0.3">
      <c r="I53" s="24" t="s">
        <v>124</v>
      </c>
      <c r="J53" s="24" t="s">
        <v>123</v>
      </c>
    </row>
    <row r="54" spans="5:10" x14ac:dyDescent="0.3">
      <c r="I54" s="24" t="s">
        <v>127</v>
      </c>
      <c r="J54" s="24" t="s">
        <v>126</v>
      </c>
    </row>
    <row r="55" spans="5:10" x14ac:dyDescent="0.3">
      <c r="J55" s="24" t="s">
        <v>128</v>
      </c>
    </row>
    <row r="56" spans="5:10" x14ac:dyDescent="0.3">
      <c r="J56" s="24" t="s">
        <v>130</v>
      </c>
    </row>
    <row r="58" spans="5:10" x14ac:dyDescent="0.3">
      <c r="E58" s="24" t="s">
        <v>132</v>
      </c>
    </row>
    <row r="59" spans="5:10" x14ac:dyDescent="0.3">
      <c r="E59" s="24" t="s">
        <v>71</v>
      </c>
      <c r="F59" s="24" t="s">
        <v>78</v>
      </c>
      <c r="G59" s="24" t="s">
        <v>79</v>
      </c>
    </row>
    <row r="60" spans="5:10" x14ac:dyDescent="0.3">
      <c r="E60" s="24" t="s">
        <v>82</v>
      </c>
      <c r="F60" s="24" t="s">
        <v>445</v>
      </c>
      <c r="G60" s="24" t="s">
        <v>83</v>
      </c>
    </row>
    <row r="61" spans="5:10" x14ac:dyDescent="0.3">
      <c r="E61" s="24" t="s">
        <v>87</v>
      </c>
      <c r="F61" s="24" t="s">
        <v>446</v>
      </c>
      <c r="G61" s="24" t="s">
        <v>89</v>
      </c>
    </row>
    <row r="62" spans="5:10" x14ac:dyDescent="0.3">
      <c r="E62" s="24" t="s">
        <v>135</v>
      </c>
      <c r="F62" s="24" t="s">
        <v>449</v>
      </c>
      <c r="G62" s="24" t="s">
        <v>92</v>
      </c>
    </row>
    <row r="63" spans="5:10" x14ac:dyDescent="0.3">
      <c r="E63" s="24" t="s">
        <v>136</v>
      </c>
      <c r="F63" s="24" t="s">
        <v>492</v>
      </c>
      <c r="G63" s="24" t="s">
        <v>104</v>
      </c>
    </row>
    <row r="64" spans="5:10" x14ac:dyDescent="0.3">
      <c r="E64" s="24" t="s">
        <v>137</v>
      </c>
      <c r="F64" s="24" t="s">
        <v>493</v>
      </c>
      <c r="G64" s="24" t="s">
        <v>107</v>
      </c>
    </row>
    <row r="65" spans="6:7" x14ac:dyDescent="0.3">
      <c r="F65" s="24" t="s">
        <v>494</v>
      </c>
      <c r="G65" s="24" t="s">
        <v>112</v>
      </c>
    </row>
    <row r="66" spans="6:7" x14ac:dyDescent="0.3">
      <c r="F66" s="24" t="s">
        <v>447</v>
      </c>
      <c r="G66" s="24" t="s">
        <v>115</v>
      </c>
    </row>
    <row r="67" spans="6:7" x14ac:dyDescent="0.3">
      <c r="F67" s="24" t="s">
        <v>448</v>
      </c>
      <c r="G67" s="24" t="s">
        <v>128</v>
      </c>
    </row>
    <row r="68" spans="6:7" x14ac:dyDescent="0.3">
      <c r="F68" s="24" t="s">
        <v>450</v>
      </c>
      <c r="G68" s="24" t="s">
        <v>130</v>
      </c>
    </row>
    <row r="69" spans="6:7" x14ac:dyDescent="0.3">
      <c r="F69" s="24" t="s">
        <v>103</v>
      </c>
    </row>
    <row r="70" spans="6:7" x14ac:dyDescent="0.3">
      <c r="F70" s="24" t="s">
        <v>138</v>
      </c>
    </row>
    <row r="71" spans="6:7" x14ac:dyDescent="0.3">
      <c r="F71" s="24" t="s">
        <v>500</v>
      </c>
    </row>
  </sheetData>
  <pageMargins left="0.7" right="0.7" top="0.75" bottom="0.75" header="0.3" footer="0.3"/>
  <pageSetup scale="30" orientation="landscape"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C38B-6455-4600-AAF2-572AEB3078C8}">
  <sheetPr codeName="Sheet4">
    <tabColor theme="1"/>
    <pageSetUpPr fitToPage="1"/>
  </sheetPr>
  <dimension ref="A1:AF78"/>
  <sheetViews>
    <sheetView topLeftCell="J1" zoomScale="70" zoomScaleNormal="70" workbookViewId="0">
      <selection activeCell="U59" sqref="U59"/>
    </sheetView>
  </sheetViews>
  <sheetFormatPr defaultColWidth="8.81640625" defaultRowHeight="14.5" x14ac:dyDescent="0.35"/>
  <cols>
    <col min="1" max="1" width="20.54296875" style="24" customWidth="1"/>
    <col min="2" max="2" width="11.81640625" style="24" customWidth="1"/>
    <col min="3" max="3" width="20.54296875" style="24" customWidth="1"/>
    <col min="4" max="4" width="64.81640625" style="24" customWidth="1"/>
    <col min="5" max="6" width="13.1796875" style="24" customWidth="1"/>
    <col min="7" max="7" width="6.453125" style="24" customWidth="1"/>
    <col min="8" max="8" width="52.453125" style="24" customWidth="1"/>
    <col min="9" max="9" width="36.54296875" style="45" customWidth="1"/>
    <col min="10" max="10" width="63.453125" style="45" customWidth="1"/>
    <col min="11" max="11" width="15.1796875" style="24" customWidth="1"/>
    <col min="12" max="12" width="18.453125" style="24" customWidth="1"/>
    <col min="13" max="14" width="29" style="24" customWidth="1"/>
    <col min="15" max="15" width="52.453125" style="24" customWidth="1"/>
    <col min="16" max="17" width="11.81640625" style="44" customWidth="1"/>
    <col min="18" max="18" width="15.54296875" style="24" customWidth="1"/>
    <col min="19" max="19" width="12.81640625" style="24" customWidth="1"/>
    <col min="20" max="21" width="13.81640625" style="24" customWidth="1"/>
    <col min="22" max="22" width="19.1796875" style="24" customWidth="1"/>
    <col min="23" max="23" width="23.1796875" style="24" customWidth="1"/>
    <col min="24" max="24" width="25.54296875" style="24" customWidth="1"/>
    <col min="25" max="26" width="27.81640625" style="24" customWidth="1"/>
    <col min="27" max="27" width="16.81640625" style="24" customWidth="1"/>
    <col min="28" max="28" width="108.1796875" style="24" bestFit="1" customWidth="1"/>
    <col min="29" max="29" width="22.81640625" style="24" customWidth="1"/>
    <col min="30" max="30" width="28.1796875" style="24" bestFit="1" customWidth="1"/>
    <col min="31" max="31" width="20.1796875" style="24" bestFit="1" customWidth="1"/>
    <col min="32" max="32" width="10.54296875" style="24" bestFit="1" customWidth="1"/>
    <col min="33" max="16384" width="8.81640625" style="24"/>
  </cols>
  <sheetData>
    <row r="1" spans="1:32" ht="14.5" customHeight="1" x14ac:dyDescent="0.3">
      <c r="A1" s="816" t="s">
        <v>572</v>
      </c>
      <c r="B1" s="816"/>
      <c r="C1" s="816"/>
      <c r="D1" s="816"/>
      <c r="E1" s="816"/>
      <c r="F1" s="816"/>
      <c r="G1" s="816"/>
      <c r="H1" s="815" t="s">
        <v>571</v>
      </c>
      <c r="I1" s="815"/>
      <c r="J1" s="815"/>
      <c r="K1" s="815"/>
      <c r="L1" s="815"/>
      <c r="M1" s="815"/>
      <c r="N1" s="815"/>
      <c r="O1" s="815"/>
      <c r="P1" s="815"/>
      <c r="Q1" s="815"/>
      <c r="R1" s="815"/>
      <c r="S1" s="815"/>
      <c r="T1" s="815"/>
      <c r="U1" s="815"/>
      <c r="V1" s="815"/>
      <c r="W1" s="817"/>
      <c r="X1" s="817"/>
      <c r="Y1" s="817"/>
      <c r="Z1" s="817"/>
      <c r="AA1" s="817"/>
      <c r="AB1" s="817"/>
      <c r="AC1" s="817"/>
      <c r="AD1" s="817"/>
      <c r="AE1" s="817"/>
      <c r="AF1" s="817"/>
    </row>
    <row r="2" spans="1:32" x14ac:dyDescent="0.35">
      <c r="A2" s="381" t="s">
        <v>139</v>
      </c>
      <c r="B2" s="382" t="s">
        <v>140</v>
      </c>
      <c r="C2" s="382" t="s">
        <v>366</v>
      </c>
      <c r="D2" s="382" t="s">
        <v>141</v>
      </c>
      <c r="E2" s="382" t="s">
        <v>566</v>
      </c>
      <c r="F2" s="382" t="s">
        <v>567</v>
      </c>
      <c r="G2" s="382" t="s">
        <v>568</v>
      </c>
      <c r="H2" s="383" t="s">
        <v>142</v>
      </c>
      <c r="I2" s="383" t="s">
        <v>143</v>
      </c>
      <c r="J2" s="383" t="s">
        <v>144</v>
      </c>
      <c r="K2" s="383" t="s">
        <v>145</v>
      </c>
      <c r="L2" s="384" t="s">
        <v>146</v>
      </c>
      <c r="M2" s="384" t="s">
        <v>147</v>
      </c>
      <c r="N2" s="384" t="s">
        <v>436</v>
      </c>
      <c r="O2" s="384" t="s">
        <v>148</v>
      </c>
      <c r="P2" s="383" t="s">
        <v>149</v>
      </c>
      <c r="Q2" s="383" t="s">
        <v>150</v>
      </c>
      <c r="R2" s="383" t="s">
        <v>151</v>
      </c>
      <c r="S2" s="383" t="s">
        <v>152</v>
      </c>
      <c r="T2" s="383" t="s">
        <v>153</v>
      </c>
      <c r="U2" s="383" t="s">
        <v>437</v>
      </c>
      <c r="V2" s="385" t="s">
        <v>155</v>
      </c>
      <c r="W2" s="415" t="s">
        <v>574</v>
      </c>
      <c r="X2" s="415" t="s">
        <v>576</v>
      </c>
      <c r="Y2" s="415" t="s">
        <v>575</v>
      </c>
      <c r="Z2" s="415" t="s">
        <v>592</v>
      </c>
      <c r="AA2" s="415" t="s">
        <v>577</v>
      </c>
      <c r="AB2" s="415" t="s">
        <v>590</v>
      </c>
      <c r="AC2" s="415" t="s">
        <v>589</v>
      </c>
      <c r="AD2" s="415" t="s">
        <v>595</v>
      </c>
      <c r="AE2" s="415" t="s">
        <v>596</v>
      </c>
      <c r="AF2" s="415" t="s">
        <v>597</v>
      </c>
    </row>
    <row r="3" spans="1:32" hidden="1" x14ac:dyDescent="0.35">
      <c r="A3" s="387" t="s">
        <v>67</v>
      </c>
      <c r="B3" s="388" t="s">
        <v>65</v>
      </c>
      <c r="C3" s="388" t="str">
        <f>NLIndexTable[[#This Row],[Type]]&amp;"-"&amp;NLIndexTable[[#This Row],[Category]]</f>
        <v>EE-Commercial Kitchen</v>
      </c>
      <c r="D3" s="388" t="s">
        <v>83</v>
      </c>
      <c r="E3" s="388" t="s">
        <v>473</v>
      </c>
      <c r="F3" s="388" t="s">
        <v>473</v>
      </c>
      <c r="G3" s="388" t="s">
        <v>569</v>
      </c>
      <c r="H3" s="388" t="str">
        <f>"Mech_"&amp;NLIndexTable[[#This Row],[Type]]&amp;"-"&amp;NLIndexTable[[#This Row],[BCH Rerofit Technology]]</f>
        <v>Mech_EE-ENERGY STAR Electric Convection Oven (Full)</v>
      </c>
      <c r="I3" s="388" t="s">
        <v>313</v>
      </c>
      <c r="J3" s="388" t="s">
        <v>156</v>
      </c>
      <c r="K3" s="388">
        <v>12</v>
      </c>
      <c r="L3" s="389">
        <v>300</v>
      </c>
      <c r="M3" s="389" t="s">
        <v>157</v>
      </c>
      <c r="N3" s="389" t="s">
        <v>410</v>
      </c>
      <c r="O3" s="389" t="s">
        <v>158</v>
      </c>
      <c r="P3" s="388">
        <v>12059</v>
      </c>
      <c r="Q3" s="388">
        <v>10122</v>
      </c>
      <c r="R3" s="388">
        <v>1937</v>
      </c>
      <c r="S3" s="388">
        <v>0</v>
      </c>
      <c r="T3" s="388" t="s">
        <v>159</v>
      </c>
      <c r="U3" s="388" t="s">
        <v>438</v>
      </c>
      <c r="V3" s="390" t="s">
        <v>67</v>
      </c>
      <c r="W3" s="386"/>
      <c r="X3" s="404">
        <v>6000</v>
      </c>
      <c r="Y3" s="404">
        <v>6000</v>
      </c>
      <c r="Z3" s="405"/>
      <c r="AA3" s="386"/>
      <c r="AB3" s="386"/>
      <c r="AC3" s="386"/>
      <c r="AD3" s="386"/>
      <c r="AE3" s="419"/>
      <c r="AF3" s="388"/>
    </row>
    <row r="4" spans="1:32" hidden="1" x14ac:dyDescent="0.35">
      <c r="A4" s="387" t="s">
        <v>67</v>
      </c>
      <c r="B4" s="388" t="s">
        <v>65</v>
      </c>
      <c r="C4" s="388" t="str">
        <f>NLIndexTable[[#This Row],[Type]]&amp;"-"&amp;NLIndexTable[[#This Row],[Category]]</f>
        <v>EE-Commercial Kitchen</v>
      </c>
      <c r="D4" s="388" t="s">
        <v>89</v>
      </c>
      <c r="E4" s="388" t="s">
        <v>473</v>
      </c>
      <c r="F4" s="388" t="s">
        <v>473</v>
      </c>
      <c r="G4" s="388" t="s">
        <v>569</v>
      </c>
      <c r="H4" s="388" t="str">
        <f>"Mech_"&amp;NLIndexTable[[#This Row],[Type]]&amp;"-"&amp;NLIndexTable[[#This Row],[BCH Rerofit Technology]]</f>
        <v>Mech_EE-ENERGY STAR Electric Convection Oven (Half)</v>
      </c>
      <c r="I4" s="388" t="s">
        <v>313</v>
      </c>
      <c r="J4" s="388" t="s">
        <v>156</v>
      </c>
      <c r="K4" s="388">
        <v>12</v>
      </c>
      <c r="L4" s="389">
        <v>250</v>
      </c>
      <c r="M4" s="389" t="s">
        <v>157</v>
      </c>
      <c r="N4" s="389" t="s">
        <v>410</v>
      </c>
      <c r="O4" s="389" t="s">
        <v>158</v>
      </c>
      <c r="P4" s="388">
        <v>7605</v>
      </c>
      <c r="Q4" s="388">
        <v>7413</v>
      </c>
      <c r="R4" s="388">
        <v>192</v>
      </c>
      <c r="S4" s="388">
        <v>0</v>
      </c>
      <c r="T4" s="388" t="s">
        <v>159</v>
      </c>
      <c r="U4" s="388" t="s">
        <v>438</v>
      </c>
      <c r="V4" s="390" t="s">
        <v>67</v>
      </c>
      <c r="W4" s="388"/>
      <c r="X4" s="404">
        <v>7000</v>
      </c>
      <c r="Y4" s="404">
        <v>7000</v>
      </c>
      <c r="Z4" s="404"/>
      <c r="AA4" s="388"/>
      <c r="AB4" s="388"/>
      <c r="AC4" s="388"/>
      <c r="AD4" s="388"/>
      <c r="AE4" s="419"/>
      <c r="AF4" s="388"/>
    </row>
    <row r="5" spans="1:32" hidden="1" x14ac:dyDescent="0.35">
      <c r="A5" s="387" t="s">
        <v>67</v>
      </c>
      <c r="B5" s="388" t="s">
        <v>65</v>
      </c>
      <c r="C5" s="388" t="str">
        <f>NLIndexTable[[#This Row],[Type]]&amp;"-"&amp;NLIndexTable[[#This Row],[Category]]</f>
        <v>EE-Commercial Kitchen</v>
      </c>
      <c r="D5" s="388" t="s">
        <v>92</v>
      </c>
      <c r="E5" s="388" t="s">
        <v>473</v>
      </c>
      <c r="F5" s="388" t="s">
        <v>473</v>
      </c>
      <c r="G5" s="388" t="s">
        <v>569</v>
      </c>
      <c r="H5" s="388" t="str">
        <f>"Mech_"&amp;NLIndexTable[[#This Row],[Type]]&amp;"-"&amp;NLIndexTable[[#This Row],[BCH Rerofit Technology]]</f>
        <v>Mech_EE-ENERGY STAR Electric Griddle</v>
      </c>
      <c r="I5" s="388" t="s">
        <v>313</v>
      </c>
      <c r="J5" s="388" t="s">
        <v>156</v>
      </c>
      <c r="K5" s="388">
        <v>12</v>
      </c>
      <c r="L5" s="389">
        <v>550</v>
      </c>
      <c r="M5" s="389" t="s">
        <v>160</v>
      </c>
      <c r="N5" s="389" t="s">
        <v>410</v>
      </c>
      <c r="O5" s="389" t="s">
        <v>158</v>
      </c>
      <c r="P5" s="388">
        <v>15814</v>
      </c>
      <c r="Q5" s="388">
        <v>13905</v>
      </c>
      <c r="R5" s="388">
        <v>1909</v>
      </c>
      <c r="S5" s="388">
        <v>0</v>
      </c>
      <c r="T5" s="388" t="s">
        <v>159</v>
      </c>
      <c r="U5" s="388" t="s">
        <v>438</v>
      </c>
      <c r="V5" s="390" t="s">
        <v>67</v>
      </c>
      <c r="W5" s="388"/>
      <c r="X5" s="404"/>
      <c r="Y5" s="404"/>
      <c r="Z5" s="404"/>
      <c r="AA5" s="388"/>
      <c r="AB5" s="388"/>
      <c r="AC5" s="388"/>
      <c r="AD5" s="388"/>
      <c r="AE5" s="419"/>
      <c r="AF5" s="388"/>
    </row>
    <row r="6" spans="1:32" hidden="1" x14ac:dyDescent="0.35">
      <c r="A6" s="387" t="s">
        <v>67</v>
      </c>
      <c r="B6" s="388" t="s">
        <v>65</v>
      </c>
      <c r="C6" s="388" t="str">
        <f>NLIndexTable[[#This Row],[Type]]&amp;"-"&amp;NLIndexTable[[#This Row],[Category]]</f>
        <v>EE-Commercial Kitchen</v>
      </c>
      <c r="D6" s="388" t="s">
        <v>94</v>
      </c>
      <c r="E6" s="388" t="s">
        <v>473</v>
      </c>
      <c r="F6" s="388" t="s">
        <v>473</v>
      </c>
      <c r="G6" s="388" t="s">
        <v>569</v>
      </c>
      <c r="H6" s="388" t="str">
        <f>"Mech_"&amp;NLIndexTable[[#This Row],[Type]]&amp;"-"&amp;NLIndexTable[[#This Row],[BCH Rerofit Technology]]</f>
        <v>Mech_EE-ENERGY STAR Electric Hot Food Holding Cabinet, 368 to 793 L (13 to 28 ft3)</v>
      </c>
      <c r="I6" s="388" t="s">
        <v>313</v>
      </c>
      <c r="J6" s="388" t="s">
        <v>161</v>
      </c>
      <c r="K6" s="388">
        <v>12</v>
      </c>
      <c r="L6" s="389">
        <v>600</v>
      </c>
      <c r="M6" s="389" t="s">
        <v>162</v>
      </c>
      <c r="N6" s="389" t="s">
        <v>410</v>
      </c>
      <c r="O6" s="389" t="s">
        <v>158</v>
      </c>
      <c r="P6" s="388">
        <v>4489</v>
      </c>
      <c r="Q6" s="388">
        <v>1615</v>
      </c>
      <c r="R6" s="388">
        <v>2874</v>
      </c>
      <c r="S6" s="388">
        <v>0</v>
      </c>
      <c r="T6" s="388" t="s">
        <v>159</v>
      </c>
      <c r="U6" s="388" t="s">
        <v>438</v>
      </c>
      <c r="V6" s="390" t="s">
        <v>67</v>
      </c>
      <c r="W6" s="388"/>
      <c r="X6" s="404"/>
      <c r="Y6" s="404"/>
      <c r="Z6" s="404"/>
      <c r="AA6" s="388"/>
      <c r="AB6" s="388"/>
      <c r="AC6" s="388"/>
      <c r="AD6" s="388"/>
      <c r="AE6" s="419"/>
      <c r="AF6" s="388"/>
    </row>
    <row r="7" spans="1:32" hidden="1" x14ac:dyDescent="0.35">
      <c r="A7" s="387" t="s">
        <v>67</v>
      </c>
      <c r="B7" s="388" t="s">
        <v>65</v>
      </c>
      <c r="C7" s="388" t="str">
        <f>NLIndexTable[[#This Row],[Type]]&amp;"-"&amp;NLIndexTable[[#This Row],[Category]]</f>
        <v>EE-Commercial Kitchen</v>
      </c>
      <c r="D7" s="388" t="s">
        <v>97</v>
      </c>
      <c r="E7" s="388" t="s">
        <v>473</v>
      </c>
      <c r="F7" s="388" t="s">
        <v>473</v>
      </c>
      <c r="G7" s="388" t="s">
        <v>569</v>
      </c>
      <c r="H7" s="388" t="str">
        <f>"Mech_"&amp;NLIndexTable[[#This Row],[Type]]&amp;"-"&amp;NLIndexTable[[#This Row],[BCH Rerofit Technology]]</f>
        <v>Mech_EE-ENERGY STAR Electric Hot Food Holding Cabinet, Greater than 793 L (Greater than 28 ft3)</v>
      </c>
      <c r="I7" s="388" t="s">
        <v>313</v>
      </c>
      <c r="J7" s="388" t="s">
        <v>161</v>
      </c>
      <c r="K7" s="388">
        <v>12</v>
      </c>
      <c r="L7" s="389">
        <v>1600</v>
      </c>
      <c r="M7" s="389" t="s">
        <v>162</v>
      </c>
      <c r="N7" s="389" t="s">
        <v>410</v>
      </c>
      <c r="O7" s="389" t="s">
        <v>158</v>
      </c>
      <c r="P7" s="388">
        <v>6132</v>
      </c>
      <c r="Q7" s="388">
        <v>1697</v>
      </c>
      <c r="R7" s="388">
        <v>4435</v>
      </c>
      <c r="S7" s="388">
        <v>0</v>
      </c>
      <c r="T7" s="388" t="s">
        <v>159</v>
      </c>
      <c r="U7" s="388" t="s">
        <v>438</v>
      </c>
      <c r="V7" s="390" t="s">
        <v>67</v>
      </c>
      <c r="W7" s="388"/>
      <c r="X7" s="404"/>
      <c r="Y7" s="404"/>
      <c r="Z7" s="404"/>
      <c r="AA7" s="388"/>
      <c r="AB7" s="388"/>
      <c r="AC7" s="388"/>
      <c r="AD7" s="388"/>
      <c r="AE7" s="419"/>
      <c r="AF7" s="388"/>
    </row>
    <row r="8" spans="1:32" hidden="1" x14ac:dyDescent="0.35">
      <c r="A8" s="387" t="s">
        <v>67</v>
      </c>
      <c r="B8" s="388" t="s">
        <v>65</v>
      </c>
      <c r="C8" s="388" t="str">
        <f>NLIndexTable[[#This Row],[Type]]&amp;"-"&amp;NLIndexTable[[#This Row],[Category]]</f>
        <v>EE-Commercial Kitchen</v>
      </c>
      <c r="D8" s="388" t="s">
        <v>100</v>
      </c>
      <c r="E8" s="388" t="s">
        <v>473</v>
      </c>
      <c r="F8" s="388" t="s">
        <v>473</v>
      </c>
      <c r="G8" s="388" t="s">
        <v>569</v>
      </c>
      <c r="H8" s="388" t="str">
        <f>"Mech_"&amp;NLIndexTable[[#This Row],[Type]]&amp;"-"&amp;NLIndexTable[[#This Row],[BCH Rerofit Technology]]</f>
        <v>Mech_EE-ENERGY STAR Electric Hot Food Holding Cabinet, Less than 368 L (Less than 13 ft3)</v>
      </c>
      <c r="I8" s="388" t="s">
        <v>313</v>
      </c>
      <c r="J8" s="388" t="s">
        <v>161</v>
      </c>
      <c r="K8" s="388">
        <v>12</v>
      </c>
      <c r="L8" s="389">
        <v>150</v>
      </c>
      <c r="M8" s="389" t="s">
        <v>162</v>
      </c>
      <c r="N8" s="389" t="s">
        <v>410</v>
      </c>
      <c r="O8" s="389" t="s">
        <v>158</v>
      </c>
      <c r="P8" s="388">
        <v>2847</v>
      </c>
      <c r="Q8" s="388">
        <v>1533</v>
      </c>
      <c r="R8" s="388">
        <v>1314</v>
      </c>
      <c r="S8" s="388">
        <v>0</v>
      </c>
      <c r="T8" s="388" t="s">
        <v>159</v>
      </c>
      <c r="U8" s="388" t="s">
        <v>438</v>
      </c>
      <c r="V8" s="390" t="s">
        <v>67</v>
      </c>
      <c r="W8" s="388"/>
      <c r="X8" s="404">
        <v>18000</v>
      </c>
      <c r="Y8" s="404">
        <v>18000</v>
      </c>
      <c r="Z8" s="404"/>
      <c r="AA8" s="388"/>
      <c r="AB8" s="388"/>
      <c r="AC8" s="388"/>
      <c r="AD8" s="388"/>
      <c r="AE8" s="419"/>
      <c r="AF8" s="388"/>
    </row>
    <row r="9" spans="1:32" hidden="1" x14ac:dyDescent="0.35">
      <c r="A9" s="387" t="s">
        <v>67</v>
      </c>
      <c r="B9" s="388" t="s">
        <v>65</v>
      </c>
      <c r="C9" s="388" t="str">
        <f>NLIndexTable[[#This Row],[Type]]&amp;"-"&amp;NLIndexTable[[#This Row],[Category]]</f>
        <v>EE-Commercial Kitchen</v>
      </c>
      <c r="D9" s="388" t="s">
        <v>104</v>
      </c>
      <c r="E9" s="388" t="s">
        <v>473</v>
      </c>
      <c r="F9" s="388" t="s">
        <v>473</v>
      </c>
      <c r="G9" s="388" t="s">
        <v>569</v>
      </c>
      <c r="H9" s="388" t="str">
        <f>"Mech_"&amp;NLIndexTable[[#This Row],[Type]]&amp;"-"&amp;NLIndexTable[[#This Row],[BCH Rerofit Technology]]</f>
        <v>Mech_EE-ENERGY STAR Electric Steam Cooker - 3 pan</v>
      </c>
      <c r="I9" s="388" t="s">
        <v>313</v>
      </c>
      <c r="J9" s="388" t="s">
        <v>156</v>
      </c>
      <c r="K9" s="388">
        <v>12</v>
      </c>
      <c r="L9" s="389">
        <v>1750</v>
      </c>
      <c r="M9" s="389" t="s">
        <v>163</v>
      </c>
      <c r="N9" s="389" t="s">
        <v>410</v>
      </c>
      <c r="O9" s="389" t="s">
        <v>158</v>
      </c>
      <c r="P9" s="388">
        <v>17599</v>
      </c>
      <c r="Q9" s="388">
        <v>7632</v>
      </c>
      <c r="R9" s="388">
        <v>9967</v>
      </c>
      <c r="S9" s="388">
        <v>0</v>
      </c>
      <c r="T9" s="388" t="s">
        <v>159</v>
      </c>
      <c r="U9" s="388" t="s">
        <v>438</v>
      </c>
      <c r="V9" s="390" t="s">
        <v>67</v>
      </c>
      <c r="W9" s="388"/>
      <c r="X9" s="404">
        <v>16000</v>
      </c>
      <c r="Y9" s="404">
        <v>16000</v>
      </c>
      <c r="Z9" s="404"/>
      <c r="AA9" s="388"/>
      <c r="AB9" s="388"/>
      <c r="AC9" s="388"/>
      <c r="AD9" s="388"/>
      <c r="AE9" s="419"/>
      <c r="AF9" s="388"/>
    </row>
    <row r="10" spans="1:32" hidden="1" x14ac:dyDescent="0.35">
      <c r="A10" s="387" t="s">
        <v>67</v>
      </c>
      <c r="B10" s="388" t="s">
        <v>65</v>
      </c>
      <c r="C10" s="388" t="str">
        <f>NLIndexTable[[#This Row],[Type]]&amp;"-"&amp;NLIndexTable[[#This Row],[Category]]</f>
        <v>EE-Commercial Kitchen</v>
      </c>
      <c r="D10" s="388" t="s">
        <v>107</v>
      </c>
      <c r="E10" s="388" t="s">
        <v>473</v>
      </c>
      <c r="F10" s="388" t="s">
        <v>473</v>
      </c>
      <c r="G10" s="388" t="s">
        <v>569</v>
      </c>
      <c r="H10" s="388" t="str">
        <f>"Mech_"&amp;NLIndexTable[[#This Row],[Type]]&amp;"-"&amp;NLIndexTable[[#This Row],[BCH Rerofit Technology]]</f>
        <v>Mech_EE-ENERGY STAR Electric Steam Cooker - 4 pan</v>
      </c>
      <c r="I10" s="388" t="s">
        <v>313</v>
      </c>
      <c r="J10" s="388" t="s">
        <v>156</v>
      </c>
      <c r="K10" s="388">
        <v>12</v>
      </c>
      <c r="L10" s="389">
        <v>2100</v>
      </c>
      <c r="M10" s="389" t="s">
        <v>163</v>
      </c>
      <c r="N10" s="389" t="s">
        <v>410</v>
      </c>
      <c r="O10" s="389" t="s">
        <v>158</v>
      </c>
      <c r="P10" s="388">
        <v>21884</v>
      </c>
      <c r="Q10" s="388">
        <v>9777</v>
      </c>
      <c r="R10" s="388">
        <v>12107</v>
      </c>
      <c r="S10" s="388">
        <v>0</v>
      </c>
      <c r="T10" s="388" t="s">
        <v>159</v>
      </c>
      <c r="U10" s="388" t="s">
        <v>438</v>
      </c>
      <c r="V10" s="390" t="s">
        <v>67</v>
      </c>
      <c r="W10" s="388"/>
      <c r="X10" s="404">
        <v>18000</v>
      </c>
      <c r="Y10" s="404">
        <v>18000</v>
      </c>
      <c r="Z10" s="404"/>
      <c r="AA10" s="388"/>
      <c r="AB10" s="388"/>
      <c r="AC10" s="388"/>
      <c r="AD10" s="388"/>
      <c r="AE10" s="419"/>
      <c r="AF10" s="388"/>
    </row>
    <row r="11" spans="1:32" hidden="1" x14ac:dyDescent="0.35">
      <c r="A11" s="387" t="s">
        <v>67</v>
      </c>
      <c r="B11" s="388" t="s">
        <v>65</v>
      </c>
      <c r="C11" s="388" t="str">
        <f>NLIndexTable[[#This Row],[Type]]&amp;"-"&amp;NLIndexTable[[#This Row],[Category]]</f>
        <v>EE-Commercial Kitchen</v>
      </c>
      <c r="D11" s="388" t="s">
        <v>112</v>
      </c>
      <c r="E11" s="388" t="s">
        <v>473</v>
      </c>
      <c r="F11" s="388" t="s">
        <v>473</v>
      </c>
      <c r="G11" s="388" t="s">
        <v>569</v>
      </c>
      <c r="H11" s="388" t="str">
        <f>"Mech_"&amp;NLIndexTable[[#This Row],[Type]]&amp;"-"&amp;NLIndexTable[[#This Row],[BCH Rerofit Technology]]</f>
        <v>Mech_EE-ENERGY STAR Electric Steam Cooker - 5 pan</v>
      </c>
      <c r="I11" s="388" t="s">
        <v>313</v>
      </c>
      <c r="J11" s="388" t="s">
        <v>156</v>
      </c>
      <c r="K11" s="388">
        <v>12</v>
      </c>
      <c r="L11" s="389">
        <v>2450</v>
      </c>
      <c r="M11" s="389" t="s">
        <v>163</v>
      </c>
      <c r="N11" s="389" t="s">
        <v>410</v>
      </c>
      <c r="O11" s="389" t="s">
        <v>158</v>
      </c>
      <c r="P11" s="388">
        <v>26132</v>
      </c>
      <c r="Q11" s="388">
        <v>11946</v>
      </c>
      <c r="R11" s="388">
        <v>14186</v>
      </c>
      <c r="S11" s="388">
        <v>0</v>
      </c>
      <c r="T11" s="388" t="s">
        <v>159</v>
      </c>
      <c r="U11" s="388" t="s">
        <v>438</v>
      </c>
      <c r="V11" s="390" t="s">
        <v>67</v>
      </c>
      <c r="W11" s="388"/>
      <c r="X11" s="404">
        <v>16000</v>
      </c>
      <c r="Y11" s="404">
        <v>16000</v>
      </c>
      <c r="Z11" s="404"/>
      <c r="AA11" s="388"/>
      <c r="AB11" s="388"/>
      <c r="AC11" s="388"/>
      <c r="AD11" s="388"/>
      <c r="AE11" s="419"/>
      <c r="AF11" s="388"/>
    </row>
    <row r="12" spans="1:32" hidden="1" x14ac:dyDescent="0.35">
      <c r="A12" s="387" t="s">
        <v>67</v>
      </c>
      <c r="B12" s="388" t="s">
        <v>65</v>
      </c>
      <c r="C12" s="388" t="str">
        <f>NLIndexTable[[#This Row],[Type]]&amp;"-"&amp;NLIndexTable[[#This Row],[Category]]</f>
        <v>EE-Commercial Kitchen</v>
      </c>
      <c r="D12" s="388" t="s">
        <v>115</v>
      </c>
      <c r="E12" s="388" t="s">
        <v>473</v>
      </c>
      <c r="F12" s="388" t="s">
        <v>473</v>
      </c>
      <c r="G12" s="388" t="s">
        <v>569</v>
      </c>
      <c r="H12" s="388" t="str">
        <f>"Mech_"&amp;NLIndexTable[[#This Row],[Type]]&amp;"-"&amp;NLIndexTable[[#This Row],[BCH Rerofit Technology]]</f>
        <v>Mech_EE-ENERGY STAR Electric Steam Cooker - 6 pan</v>
      </c>
      <c r="I12" s="388" t="s">
        <v>313</v>
      </c>
      <c r="J12" s="388" t="s">
        <v>156</v>
      </c>
      <c r="K12" s="388">
        <v>12</v>
      </c>
      <c r="L12" s="389">
        <v>2800</v>
      </c>
      <c r="M12" s="389" t="s">
        <v>163</v>
      </c>
      <c r="N12" s="389" t="s">
        <v>410</v>
      </c>
      <c r="O12" s="389" t="s">
        <v>158</v>
      </c>
      <c r="P12" s="388">
        <v>30360</v>
      </c>
      <c r="Q12" s="388">
        <v>14090</v>
      </c>
      <c r="R12" s="388">
        <v>16270</v>
      </c>
      <c r="S12" s="388">
        <v>0</v>
      </c>
      <c r="T12" s="388" t="s">
        <v>159</v>
      </c>
      <c r="U12" s="388" t="s">
        <v>438</v>
      </c>
      <c r="V12" s="390" t="s">
        <v>67</v>
      </c>
      <c r="W12" s="388"/>
      <c r="X12" s="404">
        <v>29000</v>
      </c>
      <c r="Y12" s="404">
        <v>29000</v>
      </c>
      <c r="Z12" s="404"/>
      <c r="AA12" s="388"/>
      <c r="AB12" s="388"/>
      <c r="AC12" s="388"/>
      <c r="AD12" s="388"/>
      <c r="AE12" s="419"/>
      <c r="AF12" s="388"/>
    </row>
    <row r="13" spans="1:32" hidden="1" x14ac:dyDescent="0.35">
      <c r="A13" s="387" t="s">
        <v>67</v>
      </c>
      <c r="B13" s="388" t="s">
        <v>65</v>
      </c>
      <c r="C13" s="388" t="str">
        <f>NLIndexTable[[#This Row],[Type]]&amp;"-"&amp;NLIndexTable[[#This Row],[Category]]</f>
        <v>EE-Commercial Kitchen</v>
      </c>
      <c r="D13" s="388" t="s">
        <v>118</v>
      </c>
      <c r="E13" s="388" t="s">
        <v>473</v>
      </c>
      <c r="F13" s="388" t="s">
        <v>473</v>
      </c>
      <c r="G13" s="388" t="s">
        <v>569</v>
      </c>
      <c r="H13" s="388" t="str">
        <f>"Mech_"&amp;NLIndexTable[[#This Row],[Type]]&amp;"-"&amp;NLIndexTable[[#This Row],[BCH Rerofit Technology]]</f>
        <v>Mech_EE-ENERGY STAR Electrically-Heated Dishwasher (Single Tank Conveyor, High Temperature)</v>
      </c>
      <c r="I13" s="388" t="s">
        <v>313</v>
      </c>
      <c r="J13" s="388" t="s">
        <v>164</v>
      </c>
      <c r="K13" s="388">
        <v>20</v>
      </c>
      <c r="L13" s="389">
        <v>1200</v>
      </c>
      <c r="M13" s="389" t="s">
        <v>165</v>
      </c>
      <c r="N13" s="389" t="s">
        <v>410</v>
      </c>
      <c r="O13" s="389" t="s">
        <v>158</v>
      </c>
      <c r="P13" s="388">
        <v>45562</v>
      </c>
      <c r="Q13" s="388">
        <v>36350</v>
      </c>
      <c r="R13" s="388">
        <v>9212</v>
      </c>
      <c r="S13" s="388">
        <v>0</v>
      </c>
      <c r="T13" s="388" t="s">
        <v>159</v>
      </c>
      <c r="U13" s="388" t="s">
        <v>438</v>
      </c>
      <c r="V13" s="390" t="s">
        <v>67</v>
      </c>
      <c r="W13" s="388"/>
      <c r="X13" s="404">
        <v>25000</v>
      </c>
      <c r="Y13" s="404">
        <v>25000</v>
      </c>
      <c r="Z13" s="404"/>
      <c r="AA13" s="388"/>
      <c r="AB13" s="388"/>
      <c r="AC13" s="388"/>
      <c r="AD13" s="388"/>
      <c r="AE13" s="419"/>
      <c r="AF13" s="388"/>
    </row>
    <row r="14" spans="1:32" hidden="1" x14ac:dyDescent="0.35">
      <c r="A14" s="387" t="s">
        <v>67</v>
      </c>
      <c r="B14" s="388" t="s">
        <v>65</v>
      </c>
      <c r="C14" s="388" t="str">
        <f>NLIndexTable[[#This Row],[Type]]&amp;"-"&amp;NLIndexTable[[#This Row],[Category]]</f>
        <v>EE-Commercial Kitchen</v>
      </c>
      <c r="D14" s="388" t="s">
        <v>121</v>
      </c>
      <c r="E14" s="388" t="s">
        <v>473</v>
      </c>
      <c r="F14" s="388" t="s">
        <v>473</v>
      </c>
      <c r="G14" s="388" t="s">
        <v>569</v>
      </c>
      <c r="H14" s="388" t="str">
        <f>"Mech_"&amp;NLIndexTable[[#This Row],[Type]]&amp;"-"&amp;NLIndexTable[[#This Row],[BCH Rerofit Technology]]</f>
        <v>Mech_EE-ENERGY STAR Electrically-Heated Dishwasher (Single Tank Door, High Temperature)</v>
      </c>
      <c r="I14" s="388" t="s">
        <v>313</v>
      </c>
      <c r="J14" s="388" t="s">
        <v>314</v>
      </c>
      <c r="K14" s="388">
        <v>15</v>
      </c>
      <c r="L14" s="389">
        <v>700</v>
      </c>
      <c r="M14" s="389" t="s">
        <v>165</v>
      </c>
      <c r="N14" s="389" t="s">
        <v>410</v>
      </c>
      <c r="O14" s="389" t="s">
        <v>158</v>
      </c>
      <c r="P14" s="388">
        <v>39825</v>
      </c>
      <c r="Q14" s="388">
        <v>27962</v>
      </c>
      <c r="R14" s="388">
        <v>11863</v>
      </c>
      <c r="S14" s="388">
        <v>0</v>
      </c>
      <c r="T14" s="391" t="s">
        <v>159</v>
      </c>
      <c r="U14" s="388" t="s">
        <v>438</v>
      </c>
      <c r="V14" s="390" t="s">
        <v>67</v>
      </c>
      <c r="W14" s="388"/>
      <c r="X14" s="404"/>
      <c r="Y14" s="404"/>
      <c r="Z14" s="404"/>
      <c r="AA14" s="388"/>
      <c r="AB14" s="388"/>
      <c r="AC14" s="388"/>
      <c r="AD14" s="388"/>
      <c r="AE14" s="419"/>
      <c r="AF14" s="388"/>
    </row>
    <row r="15" spans="1:32" hidden="1" x14ac:dyDescent="0.35">
      <c r="A15" s="387" t="s">
        <v>67</v>
      </c>
      <c r="B15" s="388" t="s">
        <v>65</v>
      </c>
      <c r="C15" s="388" t="str">
        <f>NLIndexTable[[#This Row],[Type]]&amp;"-"&amp;NLIndexTable[[#This Row],[Category]]</f>
        <v>EE-Commercial Kitchen</v>
      </c>
      <c r="D15" s="388" t="s">
        <v>123</v>
      </c>
      <c r="E15" s="388" t="s">
        <v>473</v>
      </c>
      <c r="F15" s="388" t="s">
        <v>473</v>
      </c>
      <c r="G15" s="388" t="s">
        <v>569</v>
      </c>
      <c r="H15" s="388" t="str">
        <f>"Mech_"&amp;NLIndexTable[[#This Row],[Type]]&amp;"-"&amp;NLIndexTable[[#This Row],[BCH Rerofit Technology]]</f>
        <v>Mech_EE-ENERGY STAR Electrically-Heated Dishwasher (Single Tank Door, Low Temperature)</v>
      </c>
      <c r="I15" s="388" t="s">
        <v>313</v>
      </c>
      <c r="J15" s="388" t="s">
        <v>314</v>
      </c>
      <c r="K15" s="388">
        <v>15</v>
      </c>
      <c r="L15" s="389">
        <v>400</v>
      </c>
      <c r="M15" s="389" t="s">
        <v>165</v>
      </c>
      <c r="N15" s="389" t="s">
        <v>410</v>
      </c>
      <c r="O15" s="389" t="s">
        <v>158</v>
      </c>
      <c r="P15" s="388">
        <v>39279</v>
      </c>
      <c r="Q15" s="388">
        <v>23126</v>
      </c>
      <c r="R15" s="388">
        <v>16153</v>
      </c>
      <c r="S15" s="388">
        <v>0</v>
      </c>
      <c r="T15" s="391" t="s">
        <v>159</v>
      </c>
      <c r="U15" s="388" t="s">
        <v>438</v>
      </c>
      <c r="V15" s="390" t="s">
        <v>67</v>
      </c>
      <c r="W15" s="388"/>
      <c r="X15" s="404"/>
      <c r="Y15" s="404"/>
      <c r="Z15" s="404"/>
      <c r="AA15" s="388"/>
      <c r="AB15" s="388"/>
      <c r="AC15" s="388"/>
      <c r="AD15" s="388"/>
      <c r="AE15" s="419"/>
      <c r="AF15" s="388"/>
    </row>
    <row r="16" spans="1:32" hidden="1" x14ac:dyDescent="0.35">
      <c r="A16" s="387" t="s">
        <v>67</v>
      </c>
      <c r="B16" s="388" t="s">
        <v>65</v>
      </c>
      <c r="C16" s="388" t="str">
        <f>NLIndexTable[[#This Row],[Type]]&amp;"-"&amp;NLIndexTable[[#This Row],[Category]]</f>
        <v>EE-Commercial Kitchen</v>
      </c>
      <c r="D16" s="388" t="s">
        <v>126</v>
      </c>
      <c r="E16" s="388" t="s">
        <v>473</v>
      </c>
      <c r="F16" s="388" t="s">
        <v>473</v>
      </c>
      <c r="G16" s="388" t="s">
        <v>569</v>
      </c>
      <c r="H16" s="388" t="str">
        <f>"Mech_"&amp;NLIndexTable[[#This Row],[Type]]&amp;"-"&amp;NLIndexTable[[#This Row],[BCH Rerofit Technology]]</f>
        <v>Mech_EE-ENERGY STAR Electrically-Heated Dishwasher, Under Counter (High Temperature)</v>
      </c>
      <c r="I16" s="388" t="s">
        <v>313</v>
      </c>
      <c r="J16" s="388" t="s">
        <v>314</v>
      </c>
      <c r="K16" s="388">
        <v>15</v>
      </c>
      <c r="L16" s="389">
        <v>1600</v>
      </c>
      <c r="M16" s="389" t="s">
        <v>165</v>
      </c>
      <c r="N16" s="389" t="s">
        <v>410</v>
      </c>
      <c r="O16" s="389" t="s">
        <v>158</v>
      </c>
      <c r="P16" s="388">
        <v>12355</v>
      </c>
      <c r="Q16" s="388">
        <v>9184</v>
      </c>
      <c r="R16" s="388">
        <v>3171</v>
      </c>
      <c r="S16" s="388">
        <v>0</v>
      </c>
      <c r="T16" s="391" t="s">
        <v>159</v>
      </c>
      <c r="U16" s="388" t="s">
        <v>438</v>
      </c>
      <c r="V16" s="390" t="s">
        <v>67</v>
      </c>
      <c r="W16" s="388"/>
      <c r="X16" s="404"/>
      <c r="Y16" s="404"/>
      <c r="Z16" s="404"/>
      <c r="AA16" s="388"/>
      <c r="AB16" s="388"/>
      <c r="AC16" s="388"/>
      <c r="AD16" s="388"/>
      <c r="AE16" s="419"/>
      <c r="AF16" s="388"/>
    </row>
    <row r="17" spans="1:32" hidden="1" x14ac:dyDescent="0.35">
      <c r="A17" s="387" t="s">
        <v>67</v>
      </c>
      <c r="B17" s="388" t="s">
        <v>65</v>
      </c>
      <c r="C17" s="388" t="str">
        <f>NLIndexTable[[#This Row],[Type]]&amp;"-"&amp;NLIndexTable[[#This Row],[Category]]</f>
        <v>EE-Commercial Kitchen</v>
      </c>
      <c r="D17" s="388" t="s">
        <v>128</v>
      </c>
      <c r="E17" s="388" t="s">
        <v>473</v>
      </c>
      <c r="F17" s="388" t="s">
        <v>473</v>
      </c>
      <c r="G17" s="388" t="s">
        <v>569</v>
      </c>
      <c r="H17" s="388" t="str">
        <f>"Mech_"&amp;NLIndexTable[[#This Row],[Type]]&amp;"-"&amp;NLIndexTable[[#This Row],[BCH Rerofit Technology]]</f>
        <v>Mech_EE-ENERGY STAR Large Vat Fryer</v>
      </c>
      <c r="I17" s="388" t="s">
        <v>313</v>
      </c>
      <c r="J17" s="388" t="s">
        <v>156</v>
      </c>
      <c r="K17" s="388">
        <v>12</v>
      </c>
      <c r="L17" s="389">
        <v>850</v>
      </c>
      <c r="M17" s="389" t="s">
        <v>166</v>
      </c>
      <c r="N17" s="389" t="s">
        <v>410</v>
      </c>
      <c r="O17" s="389" t="s">
        <v>158</v>
      </c>
      <c r="P17" s="388">
        <v>18236</v>
      </c>
      <c r="Q17" s="388">
        <v>15700</v>
      </c>
      <c r="R17" s="388">
        <v>2536</v>
      </c>
      <c r="S17" s="388">
        <v>0</v>
      </c>
      <c r="T17" s="391" t="s">
        <v>159</v>
      </c>
      <c r="U17" s="388" t="s">
        <v>438</v>
      </c>
      <c r="V17" s="390" t="s">
        <v>67</v>
      </c>
      <c r="W17" s="388"/>
      <c r="X17" s="404"/>
      <c r="Y17" s="404"/>
      <c r="Z17" s="404"/>
      <c r="AA17" s="388"/>
      <c r="AB17" s="388"/>
      <c r="AC17" s="388"/>
      <c r="AD17" s="388"/>
      <c r="AE17" s="419"/>
      <c r="AF17" s="388"/>
    </row>
    <row r="18" spans="1:32" hidden="1" x14ac:dyDescent="0.35">
      <c r="A18" s="387" t="s">
        <v>67</v>
      </c>
      <c r="B18" s="388" t="s">
        <v>65</v>
      </c>
      <c r="C18" s="388" t="str">
        <f>NLIndexTable[[#This Row],[Type]]&amp;"-"&amp;NLIndexTable[[#This Row],[Category]]</f>
        <v>EE-Commercial Kitchen</v>
      </c>
      <c r="D18" s="388" t="s">
        <v>130</v>
      </c>
      <c r="E18" s="388" t="s">
        <v>473</v>
      </c>
      <c r="F18" s="388" t="s">
        <v>473</v>
      </c>
      <c r="G18" s="388" t="s">
        <v>569</v>
      </c>
      <c r="H18" s="388" t="str">
        <f>"Mech_"&amp;NLIndexTable[[#This Row],[Type]]&amp;"-"&amp;NLIndexTable[[#This Row],[BCH Rerofit Technology]]</f>
        <v>Mech_EE-ENERGY STAR Standard Size Fryer</v>
      </c>
      <c r="I18" s="388" t="s">
        <v>313</v>
      </c>
      <c r="J18" s="388" t="s">
        <v>156</v>
      </c>
      <c r="K18" s="388">
        <v>12</v>
      </c>
      <c r="L18" s="389">
        <v>200</v>
      </c>
      <c r="M18" s="389" t="s">
        <v>166</v>
      </c>
      <c r="N18" s="389" t="s">
        <v>410</v>
      </c>
      <c r="O18" s="389" t="s">
        <v>158</v>
      </c>
      <c r="P18" s="388">
        <v>18189</v>
      </c>
      <c r="Q18" s="388">
        <v>15063</v>
      </c>
      <c r="R18" s="388">
        <v>3126</v>
      </c>
      <c r="S18" s="388">
        <v>0</v>
      </c>
      <c r="T18" s="391" t="s">
        <v>159</v>
      </c>
      <c r="U18" s="388" t="s">
        <v>438</v>
      </c>
      <c r="V18" s="390" t="s">
        <v>67</v>
      </c>
      <c r="W18" s="388"/>
      <c r="X18" s="404"/>
      <c r="Y18" s="404"/>
      <c r="Z18" s="404"/>
      <c r="AA18" s="388"/>
      <c r="AB18" s="388"/>
      <c r="AC18" s="388"/>
      <c r="AD18" s="388"/>
      <c r="AE18" s="419"/>
      <c r="AF18" s="388"/>
    </row>
    <row r="19" spans="1:32" hidden="1" x14ac:dyDescent="0.35">
      <c r="A19" s="387" t="s">
        <v>67</v>
      </c>
      <c r="B19" s="388" t="s">
        <v>132</v>
      </c>
      <c r="C19" s="388" t="str">
        <f>NLIndexTable[[#This Row],[Type]]&amp;"-"&amp;NLIndexTable[[#This Row],[Category]]</f>
        <v>LCE-Commercial Kitchen</v>
      </c>
      <c r="D19" s="388" t="s">
        <v>83</v>
      </c>
      <c r="E19" s="388" t="s">
        <v>473</v>
      </c>
      <c r="F19" s="388" t="s">
        <v>473</v>
      </c>
      <c r="G19" s="388" t="s">
        <v>569</v>
      </c>
      <c r="H19" s="388" t="str">
        <f>"Mech_"&amp;NLIndexTable[[#This Row],[Type]]&amp;"-"&amp;NLIndexTable[[#This Row],[BCH Rerofit Technology]]</f>
        <v>Mech_LCE-ENERGY STAR Electric Convection Oven (Full)</v>
      </c>
      <c r="I19" s="388" t="s">
        <v>315</v>
      </c>
      <c r="J19" s="388" t="s">
        <v>316</v>
      </c>
      <c r="K19" s="388">
        <v>12</v>
      </c>
      <c r="L19" s="389">
        <v>50</v>
      </c>
      <c r="M19" s="389" t="s">
        <v>407</v>
      </c>
      <c r="N19" s="389" t="s">
        <v>415</v>
      </c>
      <c r="O19" s="389" t="s">
        <v>158</v>
      </c>
      <c r="P19" s="388"/>
      <c r="Q19" s="388"/>
      <c r="R19" s="388">
        <v>-10122</v>
      </c>
      <c r="S19" s="388">
        <v>111</v>
      </c>
      <c r="T19" s="391" t="s">
        <v>159</v>
      </c>
      <c r="U19" s="388" t="s">
        <v>438</v>
      </c>
      <c r="V19" s="390" t="s">
        <v>67</v>
      </c>
      <c r="W19" s="388"/>
      <c r="X19" s="404"/>
      <c r="Y19" s="404"/>
      <c r="Z19" s="404"/>
      <c r="AA19" s="388"/>
      <c r="AB19" s="388"/>
      <c r="AC19" s="388"/>
      <c r="AD19" s="388"/>
      <c r="AE19" s="419"/>
      <c r="AF19" s="388"/>
    </row>
    <row r="20" spans="1:32" hidden="1" x14ac:dyDescent="0.35">
      <c r="A20" s="387" t="s">
        <v>67</v>
      </c>
      <c r="B20" s="388" t="s">
        <v>132</v>
      </c>
      <c r="C20" s="388" t="str">
        <f>NLIndexTable[[#This Row],[Type]]&amp;"-"&amp;NLIndexTable[[#This Row],[Category]]</f>
        <v>LCE-Commercial Kitchen</v>
      </c>
      <c r="D20" s="388" t="s">
        <v>89</v>
      </c>
      <c r="E20" s="388" t="s">
        <v>473</v>
      </c>
      <c r="F20" s="388" t="s">
        <v>473</v>
      </c>
      <c r="G20" s="388" t="s">
        <v>569</v>
      </c>
      <c r="H20" s="388" t="str">
        <f>"Mech_"&amp;NLIndexTable[[#This Row],[Type]]&amp;"-"&amp;NLIndexTable[[#This Row],[BCH Rerofit Technology]]</f>
        <v>Mech_LCE-ENERGY STAR Electric Convection Oven (Half)</v>
      </c>
      <c r="I20" s="388" t="s">
        <v>315</v>
      </c>
      <c r="J20" s="388" t="s">
        <v>316</v>
      </c>
      <c r="K20" s="388">
        <v>12</v>
      </c>
      <c r="L20" s="389">
        <v>50</v>
      </c>
      <c r="M20" s="389" t="s">
        <v>407</v>
      </c>
      <c r="N20" s="389" t="s">
        <v>415</v>
      </c>
      <c r="O20" s="389" t="s">
        <v>158</v>
      </c>
      <c r="P20" s="388"/>
      <c r="Q20" s="388"/>
      <c r="R20" s="388">
        <v>-7413</v>
      </c>
      <c r="S20" s="388">
        <v>81</v>
      </c>
      <c r="T20" s="391" t="s">
        <v>159</v>
      </c>
      <c r="U20" s="388" t="s">
        <v>438</v>
      </c>
      <c r="V20" s="390" t="s">
        <v>67</v>
      </c>
      <c r="W20" s="388"/>
      <c r="X20" s="404"/>
      <c r="Y20" s="404"/>
      <c r="Z20" s="404"/>
      <c r="AA20" s="388"/>
      <c r="AB20" s="388"/>
      <c r="AC20" s="388"/>
      <c r="AD20" s="388"/>
      <c r="AE20" s="419"/>
      <c r="AF20" s="388"/>
    </row>
    <row r="21" spans="1:32" hidden="1" x14ac:dyDescent="0.35">
      <c r="A21" s="387" t="s">
        <v>67</v>
      </c>
      <c r="B21" s="388" t="s">
        <v>132</v>
      </c>
      <c r="C21" s="388" t="str">
        <f>NLIndexTable[[#This Row],[Type]]&amp;"-"&amp;NLIndexTable[[#This Row],[Category]]</f>
        <v>LCE-Commercial Kitchen</v>
      </c>
      <c r="D21" s="388" t="s">
        <v>92</v>
      </c>
      <c r="E21" s="388" t="s">
        <v>473</v>
      </c>
      <c r="F21" s="388" t="s">
        <v>473</v>
      </c>
      <c r="G21" s="388" t="s">
        <v>569</v>
      </c>
      <c r="H21" s="388" t="str">
        <f>"Mech_"&amp;NLIndexTable[[#This Row],[Type]]&amp;"-"&amp;NLIndexTable[[#This Row],[BCH Rerofit Technology]]</f>
        <v>Mech_LCE-ENERGY STAR Electric Griddle</v>
      </c>
      <c r="I21" s="388" t="s">
        <v>315</v>
      </c>
      <c r="J21" s="388" t="s">
        <v>316</v>
      </c>
      <c r="K21" s="388">
        <v>12</v>
      </c>
      <c r="L21" s="389">
        <v>50</v>
      </c>
      <c r="M21" s="389" t="s">
        <v>407</v>
      </c>
      <c r="N21" s="389" t="s">
        <v>415</v>
      </c>
      <c r="O21" s="389" t="s">
        <v>158</v>
      </c>
      <c r="P21" s="388"/>
      <c r="Q21" s="388"/>
      <c r="R21" s="388">
        <v>-13905</v>
      </c>
      <c r="S21" s="388">
        <v>128</v>
      </c>
      <c r="T21" s="391" t="s">
        <v>159</v>
      </c>
      <c r="U21" s="388" t="s">
        <v>438</v>
      </c>
      <c r="V21" s="390" t="s">
        <v>67</v>
      </c>
      <c r="W21" s="388"/>
      <c r="X21" s="388"/>
      <c r="Y21" s="388"/>
      <c r="Z21" s="388"/>
      <c r="AA21" s="388"/>
      <c r="AB21" s="388"/>
      <c r="AC21" s="388"/>
      <c r="AD21" s="388"/>
      <c r="AE21" s="419"/>
      <c r="AF21" s="388"/>
    </row>
    <row r="22" spans="1:32" hidden="1" x14ac:dyDescent="0.35">
      <c r="A22" s="387" t="s">
        <v>67</v>
      </c>
      <c r="B22" s="388" t="s">
        <v>132</v>
      </c>
      <c r="C22" s="388" t="str">
        <f>NLIndexTable[[#This Row],[Type]]&amp;"-"&amp;NLIndexTable[[#This Row],[Category]]</f>
        <v>LCE-Commercial Kitchen</v>
      </c>
      <c r="D22" s="388" t="s">
        <v>104</v>
      </c>
      <c r="E22" s="388" t="s">
        <v>473</v>
      </c>
      <c r="F22" s="388" t="s">
        <v>473</v>
      </c>
      <c r="G22" s="388" t="s">
        <v>569</v>
      </c>
      <c r="H22" s="388" t="str">
        <f>"Mech_"&amp;NLIndexTable[[#This Row],[Type]]&amp;"-"&amp;NLIndexTable[[#This Row],[BCH Rerofit Technology]]</f>
        <v>Mech_LCE-ENERGY STAR Electric Steam Cooker - 3 pan</v>
      </c>
      <c r="I22" s="388" t="s">
        <v>315</v>
      </c>
      <c r="J22" s="388" t="s">
        <v>316</v>
      </c>
      <c r="K22" s="388">
        <v>12</v>
      </c>
      <c r="L22" s="389">
        <v>50</v>
      </c>
      <c r="M22" s="389" t="s">
        <v>407</v>
      </c>
      <c r="N22" s="389" t="s">
        <v>415</v>
      </c>
      <c r="O22" s="389" t="s">
        <v>158</v>
      </c>
      <c r="P22" s="388"/>
      <c r="Q22" s="388"/>
      <c r="R22" s="388">
        <v>-7632</v>
      </c>
      <c r="S22" s="388">
        <v>89</v>
      </c>
      <c r="T22" s="391" t="s">
        <v>159</v>
      </c>
      <c r="U22" s="388" t="s">
        <v>438</v>
      </c>
      <c r="V22" s="390" t="s">
        <v>67</v>
      </c>
      <c r="W22" s="388"/>
      <c r="X22" s="388"/>
      <c r="Y22" s="388"/>
      <c r="Z22" s="388"/>
      <c r="AA22" s="388"/>
      <c r="AB22" s="388"/>
      <c r="AC22" s="388"/>
      <c r="AD22" s="388"/>
      <c r="AE22" s="419"/>
      <c r="AF22" s="388"/>
    </row>
    <row r="23" spans="1:32" hidden="1" x14ac:dyDescent="0.35">
      <c r="A23" s="387" t="s">
        <v>67</v>
      </c>
      <c r="B23" s="388" t="s">
        <v>132</v>
      </c>
      <c r="C23" s="388" t="str">
        <f>NLIndexTable[[#This Row],[Type]]&amp;"-"&amp;NLIndexTable[[#This Row],[Category]]</f>
        <v>LCE-Commercial Kitchen</v>
      </c>
      <c r="D23" s="388" t="s">
        <v>107</v>
      </c>
      <c r="E23" s="388" t="s">
        <v>473</v>
      </c>
      <c r="F23" s="388" t="s">
        <v>473</v>
      </c>
      <c r="G23" s="388" t="s">
        <v>569</v>
      </c>
      <c r="H23" s="388" t="str">
        <f>"Mech_"&amp;NLIndexTable[[#This Row],[Type]]&amp;"-"&amp;NLIndexTable[[#This Row],[BCH Rerofit Technology]]</f>
        <v>Mech_LCE-ENERGY STAR Electric Steam Cooker - 4 pan</v>
      </c>
      <c r="I23" s="388" t="s">
        <v>315</v>
      </c>
      <c r="J23" s="388" t="s">
        <v>316</v>
      </c>
      <c r="K23" s="388">
        <v>12</v>
      </c>
      <c r="L23" s="389">
        <v>50</v>
      </c>
      <c r="M23" s="389" t="s">
        <v>407</v>
      </c>
      <c r="N23" s="389" t="s">
        <v>415</v>
      </c>
      <c r="O23" s="389" t="s">
        <v>158</v>
      </c>
      <c r="P23" s="388"/>
      <c r="Q23" s="388"/>
      <c r="R23" s="388">
        <v>-9777</v>
      </c>
      <c r="S23" s="388">
        <v>119</v>
      </c>
      <c r="T23" s="391" t="s">
        <v>159</v>
      </c>
      <c r="U23" s="388" t="s">
        <v>438</v>
      </c>
      <c r="V23" s="390" t="s">
        <v>67</v>
      </c>
      <c r="W23" s="388"/>
      <c r="X23" s="388"/>
      <c r="Y23" s="388"/>
      <c r="Z23" s="388"/>
      <c r="AA23" s="388"/>
      <c r="AB23" s="388"/>
      <c r="AC23" s="388"/>
      <c r="AD23" s="388"/>
      <c r="AE23" s="419"/>
      <c r="AF23" s="388"/>
    </row>
    <row r="24" spans="1:32" hidden="1" x14ac:dyDescent="0.35">
      <c r="A24" s="387" t="s">
        <v>67</v>
      </c>
      <c r="B24" s="388" t="s">
        <v>132</v>
      </c>
      <c r="C24" s="388" t="str">
        <f>NLIndexTable[[#This Row],[Type]]&amp;"-"&amp;NLIndexTable[[#This Row],[Category]]</f>
        <v>LCE-Commercial Kitchen</v>
      </c>
      <c r="D24" s="388" t="s">
        <v>112</v>
      </c>
      <c r="E24" s="388" t="s">
        <v>473</v>
      </c>
      <c r="F24" s="388" t="s">
        <v>473</v>
      </c>
      <c r="G24" s="388" t="s">
        <v>569</v>
      </c>
      <c r="H24" s="388" t="str">
        <f>"Mech_"&amp;NLIndexTable[[#This Row],[Type]]&amp;"-"&amp;NLIndexTable[[#This Row],[BCH Rerofit Technology]]</f>
        <v>Mech_LCE-ENERGY STAR Electric Steam Cooker - 5 pan</v>
      </c>
      <c r="I24" s="388" t="s">
        <v>315</v>
      </c>
      <c r="J24" s="388" t="s">
        <v>316</v>
      </c>
      <c r="K24" s="388">
        <v>12</v>
      </c>
      <c r="L24" s="389">
        <v>50</v>
      </c>
      <c r="M24" s="389" t="s">
        <v>407</v>
      </c>
      <c r="N24" s="389" t="s">
        <v>415</v>
      </c>
      <c r="O24" s="389" t="s">
        <v>158</v>
      </c>
      <c r="P24" s="388"/>
      <c r="Q24" s="388"/>
      <c r="R24" s="388">
        <v>-11946</v>
      </c>
      <c r="S24" s="388">
        <v>148</v>
      </c>
      <c r="T24" s="391" t="s">
        <v>159</v>
      </c>
      <c r="U24" s="388" t="s">
        <v>438</v>
      </c>
      <c r="V24" s="390" t="s">
        <v>67</v>
      </c>
      <c r="W24" s="388"/>
      <c r="X24" s="388"/>
      <c r="Y24" s="388"/>
      <c r="Z24" s="388"/>
      <c r="AA24" s="388"/>
      <c r="AB24" s="388"/>
      <c r="AC24" s="388"/>
      <c r="AD24" s="388"/>
      <c r="AE24" s="419"/>
      <c r="AF24" s="388"/>
    </row>
    <row r="25" spans="1:32" hidden="1" x14ac:dyDescent="0.35">
      <c r="A25" s="387" t="s">
        <v>67</v>
      </c>
      <c r="B25" s="388" t="s">
        <v>132</v>
      </c>
      <c r="C25" s="388" t="str">
        <f>NLIndexTable[[#This Row],[Type]]&amp;"-"&amp;NLIndexTable[[#This Row],[Category]]</f>
        <v>LCE-Commercial Kitchen</v>
      </c>
      <c r="D25" s="388" t="s">
        <v>115</v>
      </c>
      <c r="E25" s="388" t="s">
        <v>473</v>
      </c>
      <c r="F25" s="388" t="s">
        <v>473</v>
      </c>
      <c r="G25" s="388" t="s">
        <v>569</v>
      </c>
      <c r="H25" s="388" t="str">
        <f>"Mech_"&amp;NLIndexTable[[#This Row],[Type]]&amp;"-"&amp;NLIndexTable[[#This Row],[BCH Rerofit Technology]]</f>
        <v>Mech_LCE-ENERGY STAR Electric Steam Cooker - 6 pan</v>
      </c>
      <c r="I25" s="388" t="s">
        <v>315</v>
      </c>
      <c r="J25" s="388" t="s">
        <v>316</v>
      </c>
      <c r="K25" s="388">
        <v>12</v>
      </c>
      <c r="L25" s="389">
        <v>50</v>
      </c>
      <c r="M25" s="389" t="s">
        <v>407</v>
      </c>
      <c r="N25" s="389" t="s">
        <v>415</v>
      </c>
      <c r="O25" s="389" t="s">
        <v>158</v>
      </c>
      <c r="P25" s="388"/>
      <c r="Q25" s="388"/>
      <c r="R25" s="388">
        <v>-14090</v>
      </c>
      <c r="S25" s="388">
        <v>178</v>
      </c>
      <c r="T25" s="391" t="s">
        <v>159</v>
      </c>
      <c r="U25" s="388" t="s">
        <v>438</v>
      </c>
      <c r="V25" s="390" t="s">
        <v>67</v>
      </c>
      <c r="W25" s="388"/>
      <c r="X25" s="388"/>
      <c r="Y25" s="388"/>
      <c r="Z25" s="388"/>
      <c r="AA25" s="388"/>
      <c r="AB25" s="388"/>
      <c r="AC25" s="388"/>
      <c r="AD25" s="388"/>
      <c r="AE25" s="419"/>
      <c r="AF25" s="388"/>
    </row>
    <row r="26" spans="1:32" hidden="1" x14ac:dyDescent="0.35">
      <c r="A26" s="387" t="s">
        <v>67</v>
      </c>
      <c r="B26" s="388" t="s">
        <v>132</v>
      </c>
      <c r="C26" s="388" t="str">
        <f>NLIndexTable[[#This Row],[Type]]&amp;"-"&amp;NLIndexTable[[#This Row],[Category]]</f>
        <v>LCE-Commercial Kitchen</v>
      </c>
      <c r="D26" s="388" t="s">
        <v>128</v>
      </c>
      <c r="E26" s="388" t="s">
        <v>473</v>
      </c>
      <c r="F26" s="388" t="s">
        <v>473</v>
      </c>
      <c r="G26" s="388" t="s">
        <v>569</v>
      </c>
      <c r="H26" s="388" t="str">
        <f>"Mech_"&amp;NLIndexTable[[#This Row],[Type]]&amp;"-"&amp;NLIndexTable[[#This Row],[BCH Rerofit Technology]]</f>
        <v>Mech_LCE-ENERGY STAR Large Vat Fryer</v>
      </c>
      <c r="I26" s="388" t="s">
        <v>315</v>
      </c>
      <c r="J26" s="388" t="s">
        <v>316</v>
      </c>
      <c r="K26" s="388">
        <v>12</v>
      </c>
      <c r="L26" s="389">
        <v>50</v>
      </c>
      <c r="M26" s="389" t="s">
        <v>407</v>
      </c>
      <c r="N26" s="389" t="s">
        <v>415</v>
      </c>
      <c r="O26" s="389" t="s">
        <v>158</v>
      </c>
      <c r="P26" s="388"/>
      <c r="Q26" s="388"/>
      <c r="R26" s="388">
        <v>-15700</v>
      </c>
      <c r="S26" s="388">
        <v>179</v>
      </c>
      <c r="T26" s="391" t="s">
        <v>159</v>
      </c>
      <c r="U26" s="388" t="s">
        <v>438</v>
      </c>
      <c r="V26" s="390" t="s">
        <v>67</v>
      </c>
      <c r="W26" s="388"/>
      <c r="X26" s="388"/>
      <c r="Y26" s="388"/>
      <c r="Z26" s="388"/>
      <c r="AA26" s="388"/>
      <c r="AB26" s="388"/>
      <c r="AC26" s="388"/>
      <c r="AD26" s="388"/>
      <c r="AE26" s="419"/>
      <c r="AF26" s="388"/>
    </row>
    <row r="27" spans="1:32" hidden="1" x14ac:dyDescent="0.35">
      <c r="A27" s="387" t="s">
        <v>67</v>
      </c>
      <c r="B27" s="388" t="s">
        <v>132</v>
      </c>
      <c r="C27" s="388" t="str">
        <f>NLIndexTable[[#This Row],[Type]]&amp;"-"&amp;NLIndexTable[[#This Row],[Category]]</f>
        <v>LCE-Commercial Kitchen</v>
      </c>
      <c r="D27" s="388" t="s">
        <v>130</v>
      </c>
      <c r="E27" s="388" t="s">
        <v>473</v>
      </c>
      <c r="F27" s="388" t="s">
        <v>473</v>
      </c>
      <c r="G27" s="388" t="s">
        <v>569</v>
      </c>
      <c r="H27" s="388" t="str">
        <f>"Mech_"&amp;NLIndexTable[[#This Row],[Type]]&amp;"-"&amp;NLIndexTable[[#This Row],[BCH Rerofit Technology]]</f>
        <v>Mech_LCE-ENERGY STAR Standard Size Fryer</v>
      </c>
      <c r="I27" s="388" t="s">
        <v>315</v>
      </c>
      <c r="J27" s="388" t="s">
        <v>316</v>
      </c>
      <c r="K27" s="388">
        <v>12</v>
      </c>
      <c r="L27" s="389">
        <v>50</v>
      </c>
      <c r="M27" s="389" t="s">
        <v>407</v>
      </c>
      <c r="N27" s="389" t="s">
        <v>415</v>
      </c>
      <c r="O27" s="389" t="s">
        <v>158</v>
      </c>
      <c r="P27" s="388"/>
      <c r="Q27" s="388"/>
      <c r="R27" s="388">
        <v>-15063</v>
      </c>
      <c r="S27" s="388">
        <v>172</v>
      </c>
      <c r="T27" s="391" t="s">
        <v>159</v>
      </c>
      <c r="U27" s="388" t="s">
        <v>438</v>
      </c>
      <c r="V27" s="390" t="s">
        <v>67</v>
      </c>
      <c r="W27" s="388"/>
      <c r="X27" s="388"/>
      <c r="Y27" s="388"/>
      <c r="Z27" s="388"/>
      <c r="AA27" s="388"/>
      <c r="AB27" s="388"/>
      <c r="AC27" s="388"/>
      <c r="AD27" s="388"/>
      <c r="AE27" s="419"/>
      <c r="AF27" s="388"/>
    </row>
    <row r="28" spans="1:32" x14ac:dyDescent="0.35">
      <c r="A28" s="387" t="s">
        <v>71</v>
      </c>
      <c r="B28" s="388" t="s">
        <v>65</v>
      </c>
      <c r="C28" s="388" t="str">
        <f>NLIndexTable[[#This Row],[Type]]&amp;"-"&amp;NLIndexTable[[#This Row],[Category]]</f>
        <v>EE-DHW</v>
      </c>
      <c r="D28" s="388" t="s">
        <v>753</v>
      </c>
      <c r="E28" s="388" t="s">
        <v>569</v>
      </c>
      <c r="F28" s="388" t="s">
        <v>569</v>
      </c>
      <c r="G28" s="388" t="s">
        <v>569</v>
      </c>
      <c r="H28" s="388" t="str">
        <f>"Mech_"&amp;NLIndexTable[[#This Row],[Type]]&amp;"-"&amp;NLIndexTable[[#This Row],[BCH Rerofit Technology]]</f>
        <v>Mech_EE-Central air source HP water heater, NEEA Tier 2 or 3</v>
      </c>
      <c r="I28" s="388" t="s">
        <v>317</v>
      </c>
      <c r="J28" s="391" t="s">
        <v>318</v>
      </c>
      <c r="K28" s="388">
        <v>15</v>
      </c>
      <c r="L28" s="389">
        <v>2600</v>
      </c>
      <c r="M28" s="389" t="s">
        <v>600</v>
      </c>
      <c r="N28" s="389" t="s">
        <v>600</v>
      </c>
      <c r="O28" s="389" t="s">
        <v>168</v>
      </c>
      <c r="P28" s="388"/>
      <c r="Q28" s="388"/>
      <c r="R28" s="388" t="e">
        <f>'Project Info'!$E$93*(1-1/'Project Info'!$D$120)</f>
        <v>#DIV/0!</v>
      </c>
      <c r="S28" s="388"/>
      <c r="T28" s="392" t="e">
        <f>'Project Info'!$D$101*(1-1/'Project Info'!$E$120)</f>
        <v>#N/A</v>
      </c>
      <c r="U28" s="393" t="s">
        <v>439</v>
      </c>
      <c r="V28" s="390" t="s">
        <v>71</v>
      </c>
      <c r="W28" s="404">
        <v>7000</v>
      </c>
      <c r="X28" s="404">
        <v>6000</v>
      </c>
      <c r="Y28" s="404">
        <v>5000</v>
      </c>
      <c r="Z28" s="404" t="s">
        <v>600</v>
      </c>
      <c r="AA28" s="404">
        <v>6500</v>
      </c>
      <c r="AB28" s="388" t="s">
        <v>584</v>
      </c>
      <c r="AC28" s="393" t="e">
        <f>NLIndexTable[[#This Row],[Elec Savings kWh]]/675</f>
        <v>#DIV/0!</v>
      </c>
      <c r="AD28" s="409" t="e">
        <f>NLIndexTable[[#This Row],[Elec Savings kWh]]</f>
        <v>#DIV/0!</v>
      </c>
      <c r="AE28" s="417" t="e">
        <f>NLIndexTable[[#This Row],[Savings KWh per unit]]*0.12</f>
        <v>#DIV/0!</v>
      </c>
      <c r="AF28" s="408" t="e">
        <f>NLIndexTable[[#This Row],[Cost Per Unit]]/NLIndexTable[[#This Row],[$ savings/unit]]</f>
        <v>#DIV/0!</v>
      </c>
    </row>
    <row r="29" spans="1:32" x14ac:dyDescent="0.35">
      <c r="A29" s="387" t="s">
        <v>71</v>
      </c>
      <c r="B29" s="388" t="s">
        <v>65</v>
      </c>
      <c r="C29" s="388" t="str">
        <f>NLIndexTable[[#This Row],[Type]]&amp;"-"&amp;NLIndexTable[[#This Row],[Category]]</f>
        <v>EE-DHW</v>
      </c>
      <c r="D29" s="388" t="s">
        <v>754</v>
      </c>
      <c r="E29" s="388" t="s">
        <v>570</v>
      </c>
      <c r="F29" s="388" t="s">
        <v>569</v>
      </c>
      <c r="G29" s="388" t="s">
        <v>569</v>
      </c>
      <c r="H29" s="388" t="str">
        <f>"Mech_"&amp;NLIndexTable[[#This Row],[Type]]&amp;"-"&amp;NLIndexTable[[#This Row],[BCH Rerofit Technology]]</f>
        <v>Mech_EE-In-suite all-in-one air source HP water heater with supplemental electricity</v>
      </c>
      <c r="I29" s="388" t="s">
        <v>317</v>
      </c>
      <c r="J29" s="391" t="s">
        <v>318</v>
      </c>
      <c r="K29" s="388">
        <v>15</v>
      </c>
      <c r="L29" s="389">
        <v>2000</v>
      </c>
      <c r="M29" s="389" t="s">
        <v>170</v>
      </c>
      <c r="N29" s="389" t="s">
        <v>170</v>
      </c>
      <c r="O29" s="389" t="s">
        <v>171</v>
      </c>
      <c r="P29" s="388"/>
      <c r="Q29" s="388"/>
      <c r="R29" s="388" t="e">
        <f>(1-1/'Project Info'!$D$121)*'Project Info'!$C$124*'Project Info'!$E$93</f>
        <v>#N/A</v>
      </c>
      <c r="S29" s="388"/>
      <c r="T29" s="392">
        <f>'Project Info'!$D$101*(1-1/1.25)</f>
        <v>0.29605263157894729</v>
      </c>
      <c r="U29" s="393" t="s">
        <v>439</v>
      </c>
      <c r="V29" s="390" t="s">
        <v>71</v>
      </c>
      <c r="W29" s="404" t="s">
        <v>438</v>
      </c>
      <c r="X29" s="404" t="s">
        <v>438</v>
      </c>
      <c r="Y29" s="404" t="s">
        <v>438</v>
      </c>
      <c r="Z29" s="404" t="s">
        <v>170</v>
      </c>
      <c r="AA29" s="404">
        <v>6500</v>
      </c>
      <c r="AB29" s="388" t="s">
        <v>583</v>
      </c>
      <c r="AC29" s="393" t="e">
        <f>NLIndexTable[[#This Row],[Elec Savings kWh]]/675</f>
        <v>#N/A</v>
      </c>
      <c r="AD29" s="409" t="e">
        <f>NLIndexTable[[#This Row],[Savings KWh/ft2]]*675</f>
        <v>#N/A</v>
      </c>
      <c r="AE29" s="417" t="e">
        <f>NLIndexTable[[#This Row],[Savings KWh per unit]]*0.12</f>
        <v>#N/A</v>
      </c>
      <c r="AF29" s="408" t="e">
        <f>NLIndexTable[[#This Row],[Cost Per Unit]]/NLIndexTable[[#This Row],[$ savings/unit]]</f>
        <v>#N/A</v>
      </c>
    </row>
    <row r="30" spans="1:32" x14ac:dyDescent="0.35">
      <c r="A30" s="387" t="s">
        <v>71</v>
      </c>
      <c r="B30" s="388" t="s">
        <v>132</v>
      </c>
      <c r="C30" s="388" t="str">
        <f>NLIndexTable[[#This Row],[Type]]&amp;"-"&amp;NLIndexTable[[#This Row],[Category]]</f>
        <v>LCE-DHW</v>
      </c>
      <c r="D30" s="388" t="s">
        <v>753</v>
      </c>
      <c r="E30" s="388" t="s">
        <v>569</v>
      </c>
      <c r="F30" s="388" t="s">
        <v>569</v>
      </c>
      <c r="G30" s="388" t="s">
        <v>569</v>
      </c>
      <c r="H30" s="388" t="str">
        <f>"Mech_"&amp;NLIndexTable[[#This Row],[Type]]&amp;"-"&amp;NLIndexTable[[#This Row],[BCH Rerofit Technology]]</f>
        <v>Mech_LCE-Central air source HP water heater, NEEA Tier 2 or 3</v>
      </c>
      <c r="I30" s="388" t="s">
        <v>319</v>
      </c>
      <c r="J30" s="391" t="s">
        <v>320</v>
      </c>
      <c r="K30" s="388">
        <v>15</v>
      </c>
      <c r="L30" s="389">
        <v>2600</v>
      </c>
      <c r="M30" s="389" t="s">
        <v>600</v>
      </c>
      <c r="N30" s="389" t="s">
        <v>600</v>
      </c>
      <c r="O30" s="389" t="s">
        <v>168</v>
      </c>
      <c r="P30" s="388"/>
      <c r="Q30" s="388"/>
      <c r="R30" s="388" t="e">
        <f>-1*'Project Info'!$E$93/'Project Info'!$D$120</f>
        <v>#DIV/0!</v>
      </c>
      <c r="S30" s="388" t="e">
        <f>'Project Info'!$E$93/0.68</f>
        <v>#DIV/0!</v>
      </c>
      <c r="T30" s="392" t="e">
        <f>-'Project Info'!$D$101/'Project Info'!$E$120</f>
        <v>#N/A</v>
      </c>
      <c r="U30" s="393" t="s">
        <v>439</v>
      </c>
      <c r="V30" s="390" t="s">
        <v>71</v>
      </c>
      <c r="W30" s="388"/>
      <c r="X30" s="388"/>
      <c r="Y30" s="388"/>
      <c r="Z30" s="388"/>
      <c r="AA30" s="388"/>
      <c r="AB30" s="388"/>
      <c r="AC30" s="388"/>
      <c r="AD30" s="388"/>
      <c r="AE30" s="419"/>
      <c r="AF30" s="388"/>
    </row>
    <row r="31" spans="1:32" x14ac:dyDescent="0.35">
      <c r="A31" s="387" t="s">
        <v>71</v>
      </c>
      <c r="B31" s="388" t="s">
        <v>132</v>
      </c>
      <c r="C31" s="388" t="str">
        <f>NLIndexTable[[#This Row],[Type]]&amp;"-"&amp;NLIndexTable[[#This Row],[Category]]</f>
        <v>LCE-DHW</v>
      </c>
      <c r="D31" s="388" t="s">
        <v>754</v>
      </c>
      <c r="E31" s="388" t="s">
        <v>570</v>
      </c>
      <c r="F31" s="388" t="s">
        <v>569</v>
      </c>
      <c r="G31" s="388" t="s">
        <v>569</v>
      </c>
      <c r="H31" s="388" t="str">
        <f>"Mech_"&amp;NLIndexTable[[#This Row],[Type]]&amp;"-"&amp;NLIndexTable[[#This Row],[BCH Rerofit Technology]]</f>
        <v>Mech_LCE-In-suite all-in-one air source HP water heater with supplemental electricity</v>
      </c>
      <c r="I31" s="388" t="s">
        <v>319</v>
      </c>
      <c r="J31" s="391" t="s">
        <v>169</v>
      </c>
      <c r="K31" s="388">
        <v>15</v>
      </c>
      <c r="L31" s="389">
        <v>2500</v>
      </c>
      <c r="M31" s="389" t="s">
        <v>170</v>
      </c>
      <c r="N31" s="389" t="s">
        <v>170</v>
      </c>
      <c r="O31" s="389" t="s">
        <v>172</v>
      </c>
      <c r="P31" s="388"/>
      <c r="Q31" s="388"/>
      <c r="R31" s="388" t="e">
        <f>-'Project Info'!$E$93*'Project Info'!$C$124/'Project Info'!$D$121-'Project Info'!$E$93*(1-'Project Info'!$C$124)</f>
        <v>#DIV/0!</v>
      </c>
      <c r="S31" s="388" t="e">
        <f>'Project Info'!$E$93/0.68</f>
        <v>#DIV/0!</v>
      </c>
      <c r="T31" s="392">
        <f>-'Project Info'!$D$101</f>
        <v>-1.4802631578947367</v>
      </c>
      <c r="U31" s="393" t="s">
        <v>439</v>
      </c>
      <c r="V31" s="390" t="s">
        <v>71</v>
      </c>
      <c r="W31" s="388"/>
      <c r="X31" s="388"/>
      <c r="Y31" s="388"/>
      <c r="Z31" s="388"/>
      <c r="AA31" s="388"/>
      <c r="AB31" s="388"/>
      <c r="AC31" s="388"/>
      <c r="AD31" s="388"/>
      <c r="AE31" s="419"/>
      <c r="AF31" s="388"/>
    </row>
    <row r="32" spans="1:32" hidden="1" x14ac:dyDescent="0.35">
      <c r="A32" s="387" t="s">
        <v>71</v>
      </c>
      <c r="B32" s="388" t="s">
        <v>132</v>
      </c>
      <c r="C32" s="388" t="str">
        <f>NLIndexTable[[#This Row],[Type]]&amp;"-"&amp;NLIndexTable[[#This Row],[Category]]</f>
        <v>LCE-DHW</v>
      </c>
      <c r="D32" s="388" t="s">
        <v>135</v>
      </c>
      <c r="E32" s="388" t="s">
        <v>473</v>
      </c>
      <c r="F32" s="388" t="s">
        <v>473</v>
      </c>
      <c r="G32" s="388" t="s">
        <v>473</v>
      </c>
      <c r="H32" s="388" t="str">
        <f>"Mech_"&amp;NLIndexTable[[#This Row],[Type]]&amp;"-"&amp;NLIndexTable[[#This Row],[BCH Rerofit Technology]]</f>
        <v>Mech_LCE-In suite DHW All-in-one Air HP (supplemental gas)</v>
      </c>
      <c r="I32" s="388" t="s">
        <v>319</v>
      </c>
      <c r="J32" s="391" t="s">
        <v>169</v>
      </c>
      <c r="K32" s="388">
        <v>15</v>
      </c>
      <c r="L32" s="389">
        <v>50</v>
      </c>
      <c r="M32" s="389" t="s">
        <v>407</v>
      </c>
      <c r="N32" s="389" t="s">
        <v>415</v>
      </c>
      <c r="O32" s="389" t="s">
        <v>172</v>
      </c>
      <c r="P32" s="388"/>
      <c r="Q32" s="388"/>
      <c r="R32" s="388" t="e">
        <f>-'Project Info'!$E$93*'Project Info'!$C$124/'Project Info'!$D$121</f>
        <v>#DIV/0!</v>
      </c>
      <c r="S32" s="388" t="e">
        <f>'Project Info'!$E$93*'Project Info'!$C$124/0.8</f>
        <v>#DIV/0!</v>
      </c>
      <c r="T32" s="392">
        <f>-'Project Info'!$D$101/'Project Info'!$E$121</f>
        <v>-1.4802631578947367</v>
      </c>
      <c r="U32" s="393" t="s">
        <v>439</v>
      </c>
      <c r="V32" s="390" t="s">
        <v>71</v>
      </c>
      <c r="W32" s="388"/>
      <c r="X32" s="388"/>
      <c r="Y32" s="388"/>
      <c r="Z32" s="388"/>
      <c r="AA32" s="388"/>
      <c r="AB32" s="388"/>
      <c r="AC32" s="388"/>
      <c r="AD32" s="388"/>
      <c r="AE32" s="419"/>
      <c r="AF32" s="388"/>
    </row>
    <row r="33" spans="1:32" hidden="1" x14ac:dyDescent="0.35">
      <c r="A33" s="387" t="s">
        <v>71</v>
      </c>
      <c r="B33" s="388" t="s">
        <v>132</v>
      </c>
      <c r="C33" s="388" t="str">
        <f>NLIndexTable[[#This Row],[Type]]&amp;"-"&amp;NLIndexTable[[#This Row],[Category]]</f>
        <v>LCE-DHW</v>
      </c>
      <c r="D33" s="388" t="s">
        <v>136</v>
      </c>
      <c r="E33" s="388" t="s">
        <v>473</v>
      </c>
      <c r="F33" s="388" t="s">
        <v>569</v>
      </c>
      <c r="G33" s="388" t="s">
        <v>569</v>
      </c>
      <c r="H33" s="388" t="str">
        <f>"Mech_"&amp;NLIndexTable[[#This Row],[Type]]&amp;"-"&amp;NLIndexTable[[#This Row],[BCH Rerofit Technology]]</f>
        <v>Mech_LCE-Central DHW Electric Water Heater</v>
      </c>
      <c r="I33" s="388" t="s">
        <v>319</v>
      </c>
      <c r="J33" s="388" t="s">
        <v>174</v>
      </c>
      <c r="K33" s="388">
        <v>20</v>
      </c>
      <c r="L33" s="389">
        <v>50</v>
      </c>
      <c r="M33" s="389" t="s">
        <v>600</v>
      </c>
      <c r="N33" s="389" t="s">
        <v>415</v>
      </c>
      <c r="O33" s="389" t="s">
        <v>175</v>
      </c>
      <c r="P33" s="388"/>
      <c r="Q33" s="388"/>
      <c r="R33" s="393" t="e">
        <f>'Project Info'!$E$93*-1</f>
        <v>#DIV/0!</v>
      </c>
      <c r="S33" s="388" t="e">
        <f>'Project Info'!$E$93/0.8</f>
        <v>#DIV/0!</v>
      </c>
      <c r="T33" s="392">
        <f>-'Project Info'!$D$101</f>
        <v>-1.4802631578947367</v>
      </c>
      <c r="U33" s="393" t="s">
        <v>439</v>
      </c>
      <c r="V33" s="390" t="s">
        <v>71</v>
      </c>
      <c r="W33" s="388"/>
      <c r="X33" s="388"/>
      <c r="Y33" s="388"/>
      <c r="Z33" s="388"/>
      <c r="AA33" s="388"/>
      <c r="AB33" s="388"/>
      <c r="AC33" s="388"/>
      <c r="AD33" s="388"/>
      <c r="AE33" s="419"/>
      <c r="AF33" s="388"/>
    </row>
    <row r="34" spans="1:32" hidden="1" x14ac:dyDescent="0.35">
      <c r="A34" s="387" t="s">
        <v>71</v>
      </c>
      <c r="B34" s="388" t="s">
        <v>132</v>
      </c>
      <c r="C34" s="388" t="str">
        <f>NLIndexTable[[#This Row],[Type]]&amp;"-"&amp;NLIndexTable[[#This Row],[Category]]</f>
        <v>LCE-DHW</v>
      </c>
      <c r="D34" s="388" t="s">
        <v>137</v>
      </c>
      <c r="E34" s="388" t="s">
        <v>473</v>
      </c>
      <c r="F34" s="388" t="s">
        <v>569</v>
      </c>
      <c r="G34" s="388" t="s">
        <v>569</v>
      </c>
      <c r="H34" s="388" t="str">
        <f>"Mech_"&amp;NLIndexTable[[#This Row],[Type]]&amp;"-"&amp;NLIndexTable[[#This Row],[BCH Rerofit Technology]]</f>
        <v>Mech_LCE-In suite DHW Electric Water Heater</v>
      </c>
      <c r="I34" s="388" t="s">
        <v>319</v>
      </c>
      <c r="J34" s="388" t="s">
        <v>173</v>
      </c>
      <c r="K34" s="388">
        <v>15</v>
      </c>
      <c r="L34" s="389">
        <v>50</v>
      </c>
      <c r="M34" s="389" t="s">
        <v>170</v>
      </c>
      <c r="N34" s="389" t="s">
        <v>415</v>
      </c>
      <c r="O34" s="389" t="s">
        <v>175</v>
      </c>
      <c r="P34" s="388"/>
      <c r="Q34" s="388"/>
      <c r="R34" s="393" t="e">
        <f>'Project Info'!$E$93*-1</f>
        <v>#DIV/0!</v>
      </c>
      <c r="S34" s="388" t="e">
        <f>'Project Info'!$E$93/0.8</f>
        <v>#DIV/0!</v>
      </c>
      <c r="T34" s="392">
        <f>-'Project Info'!$D$101</f>
        <v>-1.4802631578947367</v>
      </c>
      <c r="U34" s="393" t="s">
        <v>439</v>
      </c>
      <c r="V34" s="390" t="s">
        <v>71</v>
      </c>
      <c r="W34" s="388"/>
      <c r="X34" s="388"/>
      <c r="Y34" s="388"/>
      <c r="Z34" s="388"/>
      <c r="AA34" s="388"/>
      <c r="AB34" s="388"/>
      <c r="AC34" s="388"/>
      <c r="AD34" s="388"/>
      <c r="AE34" s="419"/>
      <c r="AF34" s="388"/>
    </row>
    <row r="35" spans="1:32" hidden="1" x14ac:dyDescent="0.35">
      <c r="A35" s="387" t="s">
        <v>75</v>
      </c>
      <c r="B35" s="388" t="s">
        <v>65</v>
      </c>
      <c r="C35" s="388" t="str">
        <f>NLIndexTable[[#This Row],[Type]]&amp;"-"&amp;NLIndexTable[[#This Row],[Category]]</f>
        <v>EE-Envelope</v>
      </c>
      <c r="D35" s="388" t="s">
        <v>176</v>
      </c>
      <c r="E35" s="388" t="s">
        <v>473</v>
      </c>
      <c r="F35" s="388" t="s">
        <v>473</v>
      </c>
      <c r="G35" s="388" t="s">
        <v>569</v>
      </c>
      <c r="H35" s="388" t="str">
        <f>"Mech_"&amp;NLIndexTable[[#This Row],[Type]]&amp;"-"&amp;NLIndexTable[[#This Row],[BCH Rerofit Technology]]</f>
        <v>Mech_EE-Roof Insulation Increase</v>
      </c>
      <c r="I35" s="388" t="s">
        <v>321</v>
      </c>
      <c r="J35" s="388" t="s">
        <v>176</v>
      </c>
      <c r="K35" s="388">
        <v>25</v>
      </c>
      <c r="L35" s="389">
        <f>0.15*20</f>
        <v>3</v>
      </c>
      <c r="M35" s="389" t="s">
        <v>177</v>
      </c>
      <c r="N35" s="389" t="s">
        <v>411</v>
      </c>
      <c r="O35" s="389" t="s">
        <v>178</v>
      </c>
      <c r="P35" s="388"/>
      <c r="Q35" s="388"/>
      <c r="R35" s="394" t="e">
        <f>'Project Info'!$D$104*277.78*(1/'Project Info'!$D$145-1/'Project Info'!$D$146)</f>
        <v>#N/A</v>
      </c>
      <c r="S35" s="388"/>
      <c r="T35" s="391">
        <v>0</v>
      </c>
      <c r="U35" s="388" t="s">
        <v>440</v>
      </c>
      <c r="V35" s="390" t="s">
        <v>75</v>
      </c>
      <c r="W35" s="404"/>
      <c r="X35" s="404"/>
      <c r="Y35" s="404"/>
      <c r="Z35" s="404" t="s">
        <v>591</v>
      </c>
      <c r="AA35" s="404">
        <f>525/10.76</f>
        <v>48.791821561338288</v>
      </c>
      <c r="AB35" s="406" t="s">
        <v>585</v>
      </c>
      <c r="AC35" s="393"/>
      <c r="AD35" s="410" t="e">
        <f>NLIndexTable[[#This Row],[Elec Savings kWh]]/'Project Info'!C115</f>
        <v>#N/A</v>
      </c>
      <c r="AE35" s="413" t="e">
        <f>NLIndexTable[[#This Row],[Savings KWh per unit]]*AVERAGE(NLVar!$B$8:$B$9)</f>
        <v>#N/A</v>
      </c>
      <c r="AF35" s="414" t="e">
        <f>NLIndexTable[[#This Row],[Cost Per Unit]]/NLIndexTable[[#This Row],[$ savings/unit]]</f>
        <v>#N/A</v>
      </c>
    </row>
    <row r="36" spans="1:32" hidden="1" x14ac:dyDescent="0.35">
      <c r="A36" s="387" t="s">
        <v>75</v>
      </c>
      <c r="B36" s="388" t="s">
        <v>65</v>
      </c>
      <c r="C36" s="388" t="str">
        <f>NLIndexTable[[#This Row],[Type]]&amp;"-"&amp;NLIndexTable[[#This Row],[Category]]</f>
        <v>EE-Envelope</v>
      </c>
      <c r="D36" s="388" t="s">
        <v>179</v>
      </c>
      <c r="E36" s="388" t="s">
        <v>473</v>
      </c>
      <c r="F36" s="388" t="s">
        <v>473</v>
      </c>
      <c r="G36" s="388" t="s">
        <v>569</v>
      </c>
      <c r="H36" s="388" t="str">
        <f>"Mech_"&amp;NLIndexTable[[#This Row],[Type]]&amp;"-"&amp;NLIndexTable[[#This Row],[BCH Rerofit Technology]]</f>
        <v>Mech_EE-Wall Insulation Increase</v>
      </c>
      <c r="I36" s="388" t="s">
        <v>321</v>
      </c>
      <c r="J36" s="388" t="s">
        <v>179</v>
      </c>
      <c r="K36" s="388">
        <v>25</v>
      </c>
      <c r="L36" s="389">
        <f>0.16*25</f>
        <v>4</v>
      </c>
      <c r="M36" s="389" t="s">
        <v>177</v>
      </c>
      <c r="N36" s="389" t="s">
        <v>411</v>
      </c>
      <c r="O36" s="389" t="s">
        <v>178</v>
      </c>
      <c r="P36" s="388"/>
      <c r="Q36" s="388"/>
      <c r="R36" s="394" t="e">
        <f>'Project Info'!$D$103*277.78*(1/'Project Info'!$C$145-1/'Project Info'!$C$146)</f>
        <v>#N/A</v>
      </c>
      <c r="S36" s="388"/>
      <c r="T36" s="391">
        <v>0</v>
      </c>
      <c r="U36" s="388" t="s">
        <v>441</v>
      </c>
      <c r="V36" s="390" t="s">
        <v>75</v>
      </c>
      <c r="W36" s="404"/>
      <c r="X36" s="404"/>
      <c r="Y36" s="404"/>
      <c r="Z36" s="404" t="s">
        <v>591</v>
      </c>
      <c r="AA36" s="404">
        <f>250*1.25*1.1/10.76</f>
        <v>31.947026022304833</v>
      </c>
      <c r="AB36" s="406" t="s">
        <v>586</v>
      </c>
      <c r="AC36" s="393"/>
      <c r="AD36" s="410" t="e">
        <f>NLIndexTable[[#This Row],[Elec Savings kWh]]/'Project Info'!C113</f>
        <v>#N/A</v>
      </c>
      <c r="AE36" s="413" t="e">
        <f>NLIndexTable[[#This Row],[Savings KWh per unit]]*AVERAGE(NLVar!$B$8:$B$9)</f>
        <v>#N/A</v>
      </c>
      <c r="AF36" s="414" t="e">
        <f>NLIndexTable[[#This Row],[Cost Per Unit]]/NLIndexTable[[#This Row],[$ savings/unit]]</f>
        <v>#N/A</v>
      </c>
    </row>
    <row r="37" spans="1:32" x14ac:dyDescent="0.35">
      <c r="A37" s="387" t="s">
        <v>75</v>
      </c>
      <c r="B37" s="388" t="s">
        <v>65</v>
      </c>
      <c r="C37" s="388" t="str">
        <f>NLIndexTable[[#This Row],[Type]]&amp;"-"&amp;NLIndexTable[[#This Row],[Category]]</f>
        <v>EE-Envelope</v>
      </c>
      <c r="D37" s="388" t="s">
        <v>746</v>
      </c>
      <c r="E37" s="388" t="s">
        <v>569</v>
      </c>
      <c r="F37" s="388" t="s">
        <v>569</v>
      </c>
      <c r="G37" s="388" t="s">
        <v>569</v>
      </c>
      <c r="H37" s="388" t="str">
        <f>"Mech_"&amp;NLIndexTable[[#This Row],[Type]]&amp;"-"&amp;NLIndexTable[[#This Row],[BCH Rerofit Technology]]</f>
        <v>Mech_EE-High efficiency glazing</v>
      </c>
      <c r="I37" s="388" t="s">
        <v>321</v>
      </c>
      <c r="J37" s="388" t="s">
        <v>322</v>
      </c>
      <c r="K37" s="388">
        <v>25</v>
      </c>
      <c r="L37" s="389">
        <v>30</v>
      </c>
      <c r="M37" s="389" t="s">
        <v>829</v>
      </c>
      <c r="N37" s="389" t="s">
        <v>829</v>
      </c>
      <c r="O37" s="389" t="s">
        <v>178</v>
      </c>
      <c r="P37" s="388"/>
      <c r="Q37" s="388"/>
      <c r="R37" s="394" t="e">
        <f>'Project Info'!$D$105*277.78*(1/'Project Info'!$E$145-1/'Project Info'!$E$146)</f>
        <v>#N/A</v>
      </c>
      <c r="S37" s="388"/>
      <c r="T37" s="391">
        <v>0</v>
      </c>
      <c r="U37" s="388" t="s">
        <v>442</v>
      </c>
      <c r="V37" s="390" t="s">
        <v>76</v>
      </c>
      <c r="W37" s="404"/>
      <c r="X37" s="404"/>
      <c r="Y37" s="404"/>
      <c r="Z37" s="404" t="s">
        <v>591</v>
      </c>
      <c r="AA37" s="404">
        <f>AVERAGE(2548/10.76*1.5,491)</f>
        <v>423.10223048327134</v>
      </c>
      <c r="AB37" s="406" t="s">
        <v>593</v>
      </c>
      <c r="AC37" s="393"/>
      <c r="AD37" s="410" t="e">
        <f>NLIndexTable[[#This Row],[Elec Savings kWh]]/'Project Info'!C114</f>
        <v>#N/A</v>
      </c>
      <c r="AE37" s="413" t="e">
        <f>NLIndexTable[[#This Row],[Savings KWh per unit]]*AVERAGE(NLVar!$B$8:$B$9)</f>
        <v>#N/A</v>
      </c>
      <c r="AF37" s="414" t="e">
        <f>NLIndexTable[[#This Row],[Cost Per Unit]]/NLIndexTable[[#This Row],[$ savings/unit]]</f>
        <v>#N/A</v>
      </c>
    </row>
    <row r="38" spans="1:32" x14ac:dyDescent="0.35">
      <c r="A38" s="387" t="s">
        <v>78</v>
      </c>
      <c r="B38" s="388" t="s">
        <v>65</v>
      </c>
      <c r="C38" s="388" t="str">
        <f>NLIndexTable[[#This Row],[Type]]&amp;"-"&amp;NLIndexTable[[#This Row],[Category]]</f>
        <v>EE-HVAC</v>
      </c>
      <c r="D38" s="388" t="s">
        <v>745</v>
      </c>
      <c r="E38" s="388" t="s">
        <v>570</v>
      </c>
      <c r="F38" s="388" t="s">
        <v>473</v>
      </c>
      <c r="G38" s="388" t="s">
        <v>569</v>
      </c>
      <c r="H38" s="388" t="str">
        <f>"Mech_"&amp;NLIndexTable[[#This Row],[Type]]&amp;"-"&amp;NLIndexTable[[#This Row],[BCH Rerofit Technology]]</f>
        <v>Mech_EE-Cold climate packaged terminal heat pump or single packaged vertical heat pump</v>
      </c>
      <c r="I38" s="388" t="s">
        <v>78</v>
      </c>
      <c r="J38" s="388" t="s">
        <v>180</v>
      </c>
      <c r="K38" s="388">
        <v>18</v>
      </c>
      <c r="L38" s="389">
        <v>1000</v>
      </c>
      <c r="M38" s="389" t="s">
        <v>170</v>
      </c>
      <c r="N38" s="389" t="s">
        <v>170</v>
      </c>
      <c r="O38" s="389" t="s">
        <v>182</v>
      </c>
      <c r="P38" s="388"/>
      <c r="Q38" s="388"/>
      <c r="R38" s="388" t="e">
        <f>'Project Info'!$D$91*(1-1/'Project Info'!$D$118)*'Project Info'!$D$124-'Project Info'!$D$95</f>
        <v>#N/A</v>
      </c>
      <c r="S38" s="388"/>
      <c r="T38" s="395" t="e">
        <f>'Project Info'!$D$97*(1-1/'Project Info'!$E$118)/1000</f>
        <v>#N/A</v>
      </c>
      <c r="U38" s="396" t="s">
        <v>443</v>
      </c>
      <c r="V38" s="390" t="s">
        <v>630</v>
      </c>
      <c r="W38" s="404">
        <v>14000</v>
      </c>
      <c r="X38" s="404"/>
      <c r="Y38" s="404"/>
      <c r="Z38" s="404" t="s">
        <v>601</v>
      </c>
      <c r="AA38" s="404">
        <f>NLIndexTable[[#This Row],[Cost per Suite (1-50)]]/2.5</f>
        <v>5600</v>
      </c>
      <c r="AB38" s="388" t="s">
        <v>587</v>
      </c>
      <c r="AC38" s="393" t="e">
        <f>NLIndexTable[[#This Row],[Elec Savings kWh]]+'Project Info'!$D$95</f>
        <v>#N/A</v>
      </c>
      <c r="AD38" s="416" t="e">
        <f>NLIndexTable[[#This Row],[Savings KWh/ft2]]*675/2.5</f>
        <v>#N/A</v>
      </c>
      <c r="AE38" s="417" t="e">
        <f>NLIndexTable[[#This Row],[Savings KWh per unit]]*0.12</f>
        <v>#N/A</v>
      </c>
      <c r="AF38" s="418" t="e">
        <f>NLIndexTable[[#This Row],[Cost Per Unit]]/NLIndexTable[[#This Row],[$ savings/unit]]</f>
        <v>#N/A</v>
      </c>
    </row>
    <row r="39" spans="1:32" x14ac:dyDescent="0.35">
      <c r="A39" s="387" t="s">
        <v>78</v>
      </c>
      <c r="B39" s="388" t="s">
        <v>65</v>
      </c>
      <c r="C39" s="388" t="str">
        <f>NLIndexTable[[#This Row],[Type]]&amp;"-"&amp;NLIndexTable[[#This Row],[Category]]</f>
        <v>EE-HVAC</v>
      </c>
      <c r="D39" s="388" t="s">
        <v>755</v>
      </c>
      <c r="E39" s="388" t="s">
        <v>570</v>
      </c>
      <c r="F39" s="388" t="s">
        <v>569</v>
      </c>
      <c r="G39" s="388" t="s">
        <v>569</v>
      </c>
      <c r="H39" s="388" t="str">
        <f>"Mech_"&amp;NLIndexTable[[#This Row],[Type]]&amp;"-"&amp;NLIndexTable[[#This Row],[BCH Rerofit Technology]]</f>
        <v>Mech_EE-Cold climate air source HP (mini-split)</v>
      </c>
      <c r="I39" s="388" t="s">
        <v>78</v>
      </c>
      <c r="J39" s="388" t="s">
        <v>180</v>
      </c>
      <c r="K39" s="388">
        <v>18</v>
      </c>
      <c r="L39" s="389">
        <v>1000</v>
      </c>
      <c r="M39" s="389" t="s">
        <v>170</v>
      </c>
      <c r="N39" s="389" t="s">
        <v>170</v>
      </c>
      <c r="O39" s="389" t="s">
        <v>182</v>
      </c>
      <c r="P39" s="388"/>
      <c r="Q39" s="388"/>
      <c r="R39" s="388" t="e">
        <f>'Project Info'!$D$91*(1-1/'Project Info'!$D$119)*'Project Info'!$D$124-'Project Info'!$D$95</f>
        <v>#N/A</v>
      </c>
      <c r="S39" s="388"/>
      <c r="T39" s="395" t="e">
        <f>'Project Info'!$D$97*(1-1/'Project Info'!$E$119)/1000</f>
        <v>#N/A</v>
      </c>
      <c r="U39" s="396" t="s">
        <v>443</v>
      </c>
      <c r="V39" s="390" t="s">
        <v>605</v>
      </c>
      <c r="W39" s="404">
        <v>16000</v>
      </c>
      <c r="X39" s="404"/>
      <c r="Y39" s="404"/>
      <c r="Z39" s="404" t="s">
        <v>601</v>
      </c>
      <c r="AA39" s="404">
        <f>NLIndexTable[[#This Row],[Cost per Suite (1-50)]]/2.5</f>
        <v>6400</v>
      </c>
      <c r="AB39" s="388" t="s">
        <v>587</v>
      </c>
      <c r="AC39" s="393" t="e">
        <f>NLIndexTable[[#This Row],[Elec Savings kWh]]+'Project Info'!$D$95</f>
        <v>#N/A</v>
      </c>
      <c r="AD39" s="416" t="e">
        <f>NLIndexTable[[#This Row],[Savings KWh/ft2]]*675/2.5</f>
        <v>#N/A</v>
      </c>
      <c r="AE39" s="417" t="e">
        <f>NLIndexTable[[#This Row],[Savings KWh per unit]]*0.12</f>
        <v>#N/A</v>
      </c>
      <c r="AF39" s="418" t="e">
        <f>NLIndexTable[[#This Row],[Cost Per Unit]]/NLIndexTable[[#This Row],[$ savings/unit]]</f>
        <v>#N/A</v>
      </c>
    </row>
    <row r="40" spans="1:32" hidden="1" x14ac:dyDescent="0.35">
      <c r="A40" s="387" t="s">
        <v>78</v>
      </c>
      <c r="B40" s="388" t="s">
        <v>65</v>
      </c>
      <c r="C40" s="388" t="str">
        <f>NLIndexTable[[#This Row],[Type]]&amp;"-"&amp;NLIndexTable[[#This Row],[Category]]</f>
        <v>EE-HVAC</v>
      </c>
      <c r="D40" s="388" t="s">
        <v>495</v>
      </c>
      <c r="E40" s="388" t="s">
        <v>473</v>
      </c>
      <c r="F40" s="388" t="s">
        <v>473</v>
      </c>
      <c r="G40" s="388" t="s">
        <v>569</v>
      </c>
      <c r="H40" s="388" t="str">
        <f>"Mech_"&amp;NLIndexTable[[#This Row],[Type]]&amp;"-"&amp;NLIndexTable[[#This Row],[BCH Rerofit Technology]]</f>
        <v>Mech_EE-Common Area Air Source Cold Climate HP (packaged or mini-split)</v>
      </c>
      <c r="I40" s="388" t="s">
        <v>78</v>
      </c>
      <c r="J40" s="388" t="s">
        <v>180</v>
      </c>
      <c r="K40" s="388">
        <v>18</v>
      </c>
      <c r="L40" s="389">
        <v>500</v>
      </c>
      <c r="M40" s="389" t="s">
        <v>181</v>
      </c>
      <c r="N40" s="389" t="s">
        <v>412</v>
      </c>
      <c r="O40" s="389" t="s">
        <v>182</v>
      </c>
      <c r="P40" s="388"/>
      <c r="Q40" s="388"/>
      <c r="R40" s="388" t="e">
        <f>'Project Info'!$D$91*(1-1/'Project Info'!$D$119)-'Project Info'!$D$95</f>
        <v>#N/A</v>
      </c>
      <c r="S40" s="388"/>
      <c r="T40" s="395">
        <v>8.2660741112598529E-4</v>
      </c>
      <c r="U40" s="396" t="s">
        <v>443</v>
      </c>
      <c r="V40" s="390" t="s">
        <v>68</v>
      </c>
      <c r="W40" s="404">
        <v>18000</v>
      </c>
      <c r="X40" s="404"/>
      <c r="Y40" s="404"/>
      <c r="Z40" s="404" t="s">
        <v>601</v>
      </c>
      <c r="AA40" s="404">
        <f>NLIndexTable[[#This Row],[Cost per Suite (1-50)]]/2</f>
        <v>9000</v>
      </c>
      <c r="AB40" s="388" t="s">
        <v>587</v>
      </c>
      <c r="AC40" s="393" t="e">
        <f>NLIndexTable[[#This Row],[Elec Savings kWh]]+'Project Info'!$D$95</f>
        <v>#N/A</v>
      </c>
      <c r="AD40" s="416" t="e">
        <f>NLIndexTable[[#This Row],[Savings KWh/ft2]]*400</f>
        <v>#N/A</v>
      </c>
      <c r="AE40" s="417" t="e">
        <f>NLIndexTable[[#This Row],[Savings KWh per unit]]*0.12</f>
        <v>#N/A</v>
      </c>
      <c r="AF40" s="418" t="e">
        <f>NLIndexTable[[#This Row],[Cost Per Unit]]/NLIndexTable[[#This Row],[$ savings/unit]]</f>
        <v>#N/A</v>
      </c>
    </row>
    <row r="41" spans="1:32" hidden="1" x14ac:dyDescent="0.35">
      <c r="A41" s="387" t="s">
        <v>78</v>
      </c>
      <c r="B41" s="388" t="s">
        <v>65</v>
      </c>
      <c r="C41" s="388" t="str">
        <f>NLIndexTable[[#This Row],[Type]]&amp;"-"&amp;NLIndexTable[[#This Row],[Category]]</f>
        <v>EE-HVAC</v>
      </c>
      <c r="D41" s="388" t="s">
        <v>496</v>
      </c>
      <c r="E41" s="388" t="s">
        <v>473</v>
      </c>
      <c r="F41" s="388" t="s">
        <v>473</v>
      </c>
      <c r="G41" s="388" t="s">
        <v>569</v>
      </c>
      <c r="H41" s="388" t="str">
        <f>"Mech_"&amp;NLIndexTable[[#This Row],[Type]]&amp;"-"&amp;NLIndexTable[[#This Row],[BCH Rerofit Technology]]</f>
        <v>Mech_EE-Common Area Air Source HP w/ supplemental elec (packaged or mini-split)</v>
      </c>
      <c r="I41" s="388" t="s">
        <v>78</v>
      </c>
      <c r="J41" s="388" t="s">
        <v>180</v>
      </c>
      <c r="K41" s="388">
        <v>18</v>
      </c>
      <c r="L41" s="389">
        <v>600</v>
      </c>
      <c r="M41" s="389" t="s">
        <v>181</v>
      </c>
      <c r="N41" s="389" t="s">
        <v>412</v>
      </c>
      <c r="O41" s="389" t="s">
        <v>182</v>
      </c>
      <c r="P41" s="388"/>
      <c r="Q41" s="388"/>
      <c r="R41" s="388" t="e">
        <f>'Project Info'!$D$91*'Project Info'!$C$124*(1-1/'Project Info'!$D$118)-'Project Info'!$D$95</f>
        <v>#N/A</v>
      </c>
      <c r="S41" s="388"/>
      <c r="T41" s="395">
        <v>3.7197333500669334E-4</v>
      </c>
      <c r="U41" s="396" t="s">
        <v>443</v>
      </c>
      <c r="V41" s="390" t="s">
        <v>68</v>
      </c>
      <c r="W41" s="404">
        <v>16000</v>
      </c>
      <c r="X41" s="404"/>
      <c r="Y41" s="404"/>
      <c r="Z41" s="404" t="s">
        <v>601</v>
      </c>
      <c r="AA41" s="404">
        <f>NLIndexTable[[#This Row],[Cost per Suite (1-50)]]/2</f>
        <v>8000</v>
      </c>
      <c r="AB41" s="388" t="s">
        <v>587</v>
      </c>
      <c r="AC41" s="393" t="e">
        <f>NLIndexTable[[#This Row],[Elec Savings kWh]]+'Project Info'!$D$95</f>
        <v>#N/A</v>
      </c>
      <c r="AD41" s="416" t="e">
        <f>NLIndexTable[[#This Row],[Savings KWh/ft2]]*400</f>
        <v>#N/A</v>
      </c>
      <c r="AE41" s="417" t="e">
        <f>NLIndexTable[[#This Row],[Savings KWh per unit]]*0.12</f>
        <v>#N/A</v>
      </c>
      <c r="AF41" s="418" t="e">
        <f>NLIndexTable[[#This Row],[Cost Per Unit]]/NLIndexTable[[#This Row],[$ savings/unit]]</f>
        <v>#N/A</v>
      </c>
    </row>
    <row r="42" spans="1:32" ht="13.5" customHeight="1" x14ac:dyDescent="0.35">
      <c r="A42" s="387" t="s">
        <v>78</v>
      </c>
      <c r="B42" s="388" t="s">
        <v>65</v>
      </c>
      <c r="C42" s="388" t="str">
        <f>NLIndexTable[[#This Row],[Type]]&amp;"-"&amp;NLIndexTable[[#This Row],[Category]]</f>
        <v>EE-HVAC</v>
      </c>
      <c r="D42" s="388" t="s">
        <v>756</v>
      </c>
      <c r="E42" s="388" t="s">
        <v>570</v>
      </c>
      <c r="F42" s="388" t="s">
        <v>569</v>
      </c>
      <c r="G42" s="388" t="s">
        <v>569</v>
      </c>
      <c r="H42" s="388" t="str">
        <f>"Mech_"&amp;NLIndexTable[[#This Row],[Type]]&amp;"-"&amp;NLIndexTable[[#This Row],[BCH Rerofit Technology]]</f>
        <v>Mech_EE-Cold climate air source HP (multi-split)</v>
      </c>
      <c r="I42" s="388" t="s">
        <v>78</v>
      </c>
      <c r="J42" s="388" t="s">
        <v>180</v>
      </c>
      <c r="K42" s="388">
        <v>18</v>
      </c>
      <c r="L42" s="389">
        <v>800</v>
      </c>
      <c r="M42" s="389" t="s">
        <v>601</v>
      </c>
      <c r="N42" s="389" t="s">
        <v>601</v>
      </c>
      <c r="O42" s="389" t="s">
        <v>182</v>
      </c>
      <c r="P42" s="388"/>
      <c r="Q42" s="388"/>
      <c r="R42" s="388" t="e">
        <f>'Project Info'!$D$91*(1-1/'Project Info'!$D$119)*'Project Info'!$D$124-'Project Info'!$D$95</f>
        <v>#N/A</v>
      </c>
      <c r="S42" s="388"/>
      <c r="T42" s="395" t="e">
        <f>'Project Info'!$D$97*(1-1/'Project Info'!$E$119)/1000</f>
        <v>#N/A</v>
      </c>
      <c r="U42" s="396" t="s">
        <v>443</v>
      </c>
      <c r="V42" s="390" t="s">
        <v>606</v>
      </c>
      <c r="W42" s="404">
        <v>26000</v>
      </c>
      <c r="X42" s="404"/>
      <c r="Y42" s="404"/>
      <c r="Z42" s="404" t="s">
        <v>181</v>
      </c>
      <c r="AA42" s="404">
        <f>NLIndexTable[[#This Row],[Cost per Suite (1-50)]]/(675/500)</f>
        <v>19259.259259259259</v>
      </c>
      <c r="AB42" s="388" t="s">
        <v>587</v>
      </c>
      <c r="AC42" s="393" t="e">
        <f>NLIndexTable[[#This Row],[Elec Savings kWh]]+'Project Info'!$D$95</f>
        <v>#N/A</v>
      </c>
      <c r="AD42" s="416" t="e">
        <f>NLIndexTable[[#This Row],[Savings KWh/ft2]]*500</f>
        <v>#N/A</v>
      </c>
      <c r="AE42" s="417" t="e">
        <f>NLIndexTable[[#This Row],[Savings KWh per unit]]*0.12</f>
        <v>#N/A</v>
      </c>
      <c r="AF42" s="418" t="e">
        <f>NLIndexTable[[#This Row],[Cost Per Unit]]/NLIndexTable[[#This Row],[$ savings/unit]]</f>
        <v>#N/A</v>
      </c>
    </row>
    <row r="43" spans="1:32" ht="13.5" customHeight="1" x14ac:dyDescent="0.35">
      <c r="A43" s="387" t="s">
        <v>78</v>
      </c>
      <c r="B43" s="388" t="s">
        <v>65</v>
      </c>
      <c r="C43" s="388" t="str">
        <f>NLIndexTable[[#This Row],[Type]]&amp;"-"&amp;NLIndexTable[[#This Row],[Category]]</f>
        <v>EE-HVAC</v>
      </c>
      <c r="D43" s="388" t="s">
        <v>757</v>
      </c>
      <c r="E43" s="388" t="s">
        <v>570</v>
      </c>
      <c r="F43" s="388" t="s">
        <v>569</v>
      </c>
      <c r="G43" s="388" t="s">
        <v>569</v>
      </c>
      <c r="H43" s="388" t="str">
        <f>"Mech_"&amp;NLIndexTable[[#This Row],[Type]]&amp;"-"&amp;NLIndexTable[[#This Row],[BCH Rerofit Technology]]</f>
        <v>Mech_EE-Central cold climate air source HP (multi-split or VRF)</v>
      </c>
      <c r="I43" s="388" t="s">
        <v>78</v>
      </c>
      <c r="J43" s="388" t="s">
        <v>180</v>
      </c>
      <c r="K43" s="388">
        <v>18</v>
      </c>
      <c r="L43" s="389">
        <v>1200</v>
      </c>
      <c r="M43" s="389" t="s">
        <v>769</v>
      </c>
      <c r="N43" s="389" t="s">
        <v>672</v>
      </c>
      <c r="O43" s="389" t="s">
        <v>182</v>
      </c>
      <c r="P43" s="388"/>
      <c r="Q43" s="388"/>
      <c r="R43" s="388" t="e">
        <f>'Project Info'!$D$91*(1-1/'Project Info'!$D$119)*'Project Info'!$D$124-'Project Info'!$D$95</f>
        <v>#N/A</v>
      </c>
      <c r="S43" s="388"/>
      <c r="T43" s="395" t="e">
        <f>'Project Info'!$D$97*(1-1/'Project Info'!$E$119)/1000</f>
        <v>#N/A</v>
      </c>
      <c r="U43" s="396" t="s">
        <v>443</v>
      </c>
      <c r="V43" s="390" t="s">
        <v>608</v>
      </c>
      <c r="W43" s="404">
        <v>26000</v>
      </c>
      <c r="X43" s="404"/>
      <c r="Y43" s="404"/>
      <c r="Z43" s="404" t="s">
        <v>181</v>
      </c>
      <c r="AA43" s="404">
        <f>NLIndexTable[[#This Row],[Cost per Suite (1-50)]]/(675/500)</f>
        <v>19259.259259259259</v>
      </c>
      <c r="AB43" s="388" t="s">
        <v>587</v>
      </c>
      <c r="AC43" s="393" t="e">
        <f>NLIndexTable[[#This Row],[Elec Savings kWh]]+'Project Info'!$D$95</f>
        <v>#N/A</v>
      </c>
      <c r="AD43" s="416" t="e">
        <f>NLIndexTable[[#This Row],[Savings KWh/ft2]]*500</f>
        <v>#N/A</v>
      </c>
      <c r="AE43" s="417" t="e">
        <f>NLIndexTable[[#This Row],[Savings KWh per unit]]*0.12</f>
        <v>#N/A</v>
      </c>
      <c r="AF43" s="418" t="e">
        <f>NLIndexTable[[#This Row],[Cost Per Unit]]/NLIndexTable[[#This Row],[$ savings/unit]]</f>
        <v>#N/A</v>
      </c>
    </row>
    <row r="44" spans="1:32" hidden="1" x14ac:dyDescent="0.35">
      <c r="A44" s="387" t="s">
        <v>78</v>
      </c>
      <c r="B44" s="388" t="s">
        <v>65</v>
      </c>
      <c r="C44" s="388" t="str">
        <f>NLIndexTable[[#This Row],[Type]]&amp;"-"&amp;NLIndexTable[[#This Row],[Category]]</f>
        <v>EE-HVAC</v>
      </c>
      <c r="D44" s="388" t="s">
        <v>448</v>
      </c>
      <c r="E44" s="388" t="s">
        <v>473</v>
      </c>
      <c r="F44" s="388" t="s">
        <v>473</v>
      </c>
      <c r="G44" s="388" t="s">
        <v>569</v>
      </c>
      <c r="H44" s="388" t="str">
        <f>"Mech_"&amp;NLIndexTable[[#This Row],[Type]]&amp;"-"&amp;NLIndexTable[[#This Row],[BCH Rerofit Technology]]</f>
        <v>Mech_EE-Central Air Source HP w/ supplemental elec (multi-split or VRF)</v>
      </c>
      <c r="I44" s="388" t="s">
        <v>78</v>
      </c>
      <c r="J44" s="388" t="s">
        <v>180</v>
      </c>
      <c r="K44" s="388">
        <v>18</v>
      </c>
      <c r="L44" s="389">
        <v>2000</v>
      </c>
      <c r="M44" s="389" t="s">
        <v>170</v>
      </c>
      <c r="N44" s="389" t="s">
        <v>410</v>
      </c>
      <c r="O44" s="389" t="s">
        <v>182</v>
      </c>
      <c r="P44" s="388"/>
      <c r="Q44" s="388"/>
      <c r="R44" s="388" t="e">
        <f>'Project Info'!$D$91*'Project Info'!$C$124*(1-1/'Project Info'!$D$118)-'Project Info'!$D$95</f>
        <v>#N/A</v>
      </c>
      <c r="S44" s="388"/>
      <c r="T44" s="395" t="e">
        <f>'Project Info'!$D$97*(1-1/1.25)/1000</f>
        <v>#N/A</v>
      </c>
      <c r="U44" s="396" t="s">
        <v>443</v>
      </c>
      <c r="V44" s="390" t="s">
        <v>68</v>
      </c>
      <c r="W44" s="404">
        <v>24000</v>
      </c>
      <c r="X44" s="404"/>
      <c r="Y44" s="404"/>
      <c r="Z44" s="404" t="s">
        <v>181</v>
      </c>
      <c r="AA44" s="404">
        <f>NLIndexTable[[#This Row],[Cost per Suite (1-50)]]/(675/500)</f>
        <v>17777.777777777777</v>
      </c>
      <c r="AB44" s="388" t="s">
        <v>587</v>
      </c>
      <c r="AC44" s="393" t="e">
        <f>NLIndexTable[[#This Row],[Elec Savings kWh]]+'Project Info'!$D$95</f>
        <v>#N/A</v>
      </c>
      <c r="AD44" s="416" t="e">
        <f>NLIndexTable[[#This Row],[Savings KWh/ft2]]*500</f>
        <v>#N/A</v>
      </c>
      <c r="AE44" s="417" t="e">
        <f>NLIndexTable[[#This Row],[Savings KWh per unit]]*0.12</f>
        <v>#N/A</v>
      </c>
      <c r="AF44" s="418" t="e">
        <f>NLIndexTable[[#This Row],[Cost Per Unit]]/NLIndexTable[[#This Row],[$ savings/unit]]</f>
        <v>#N/A</v>
      </c>
    </row>
    <row r="45" spans="1:32" hidden="1" x14ac:dyDescent="0.35">
      <c r="A45" s="387" t="s">
        <v>78</v>
      </c>
      <c r="B45" s="388" t="s">
        <v>65</v>
      </c>
      <c r="C45" s="388" t="str">
        <f>NLIndexTable[[#This Row],[Type]]&amp;"-"&amp;NLIndexTable[[#This Row],[Category]]</f>
        <v>EE-HVAC</v>
      </c>
      <c r="D45" s="388" t="s">
        <v>88</v>
      </c>
      <c r="E45" s="388" t="s">
        <v>473</v>
      </c>
      <c r="F45" s="388" t="s">
        <v>473</v>
      </c>
      <c r="G45" s="388" t="s">
        <v>473</v>
      </c>
      <c r="H45" s="388" t="str">
        <f>"Mech_"&amp;NLIndexTable[[#This Row],[Type]]&amp;"-"&amp;NLIndexTable[[#This Row],[BCH Rerofit Technology]]</f>
        <v>Mech_EE-In suite ERV and HRV</v>
      </c>
      <c r="I45" s="388" t="s">
        <v>78</v>
      </c>
      <c r="J45" s="388" t="s">
        <v>180</v>
      </c>
      <c r="K45" s="388">
        <v>15</v>
      </c>
      <c r="L45" s="397">
        <v>500</v>
      </c>
      <c r="M45" s="389" t="s">
        <v>170</v>
      </c>
      <c r="N45" s="389" t="s">
        <v>410</v>
      </c>
      <c r="O45" s="389" t="s">
        <v>573</v>
      </c>
      <c r="P45" s="388"/>
      <c r="Q45" s="388"/>
      <c r="R45" s="393" t="e">
        <f>'Project Info'!D92</f>
        <v>#N/A</v>
      </c>
      <c r="S45" s="388"/>
      <c r="T45" s="391">
        <v>0</v>
      </c>
      <c r="U45" s="396" t="s">
        <v>443</v>
      </c>
      <c r="V45" s="390" t="s">
        <v>69</v>
      </c>
      <c r="W45" s="404"/>
      <c r="X45" s="404"/>
      <c r="Y45" s="404"/>
      <c r="Z45" s="404" t="s">
        <v>594</v>
      </c>
      <c r="AA45" s="404">
        <f>7000*1.25</f>
        <v>8750</v>
      </c>
      <c r="AB45" s="388" t="s">
        <v>588</v>
      </c>
      <c r="AC45" s="393" t="e">
        <f>NLIndexTable[[#This Row],[Elec Savings kWh]]</f>
        <v>#N/A</v>
      </c>
      <c r="AD45" s="416" t="e">
        <f>NLIndexTable[[#This Row],[Savings KWh/ft2]]*675</f>
        <v>#N/A</v>
      </c>
      <c r="AE45" s="417" t="e">
        <f>NLIndexTable[[#This Row],[Savings KWh per unit]]*0.12</f>
        <v>#N/A</v>
      </c>
      <c r="AF45" s="418" t="e">
        <f>NLIndexTable[[#This Row],[Cost Per Unit]]/NLIndexTable[[#This Row],[$ savings/unit]]</f>
        <v>#N/A</v>
      </c>
    </row>
    <row r="46" spans="1:32" x14ac:dyDescent="0.35">
      <c r="A46" s="387" t="s">
        <v>78</v>
      </c>
      <c r="B46" s="388" t="s">
        <v>65</v>
      </c>
      <c r="C46" s="388" t="str">
        <f>NLIndexTable[[#This Row],[Type]]&amp;"-"&amp;NLIndexTable[[#This Row],[Category]]</f>
        <v>EE-HVAC</v>
      </c>
      <c r="D46" s="388" t="s">
        <v>747</v>
      </c>
      <c r="E46" s="388" t="s">
        <v>569</v>
      </c>
      <c r="F46" s="388" t="s">
        <v>569</v>
      </c>
      <c r="G46" s="388" t="s">
        <v>569</v>
      </c>
      <c r="H46" s="388" t="str">
        <f>"Mech_"&amp;NLIndexTable[[#This Row],[Type]]&amp;"-"&amp;NLIndexTable[[#This Row],[BCH Rerofit Technology]]</f>
        <v>Mech_EE-Rooftop HP MUA with supplemental electric heating</v>
      </c>
      <c r="I46" s="388" t="s">
        <v>78</v>
      </c>
      <c r="J46" s="388" t="s">
        <v>180</v>
      </c>
      <c r="K46" s="388">
        <v>15</v>
      </c>
      <c r="L46" s="389">
        <v>1500</v>
      </c>
      <c r="M46" s="389" t="s">
        <v>769</v>
      </c>
      <c r="N46" s="389" t="s">
        <v>672</v>
      </c>
      <c r="O46" s="389" t="s">
        <v>182</v>
      </c>
      <c r="P46" s="388"/>
      <c r="Q46" s="388"/>
      <c r="R46" s="388" t="e">
        <f>(1-1/'Project Info'!$D$123)*'Project Info'!$D$92</f>
        <v>#N/A</v>
      </c>
      <c r="S46" s="388"/>
      <c r="T46" s="391">
        <v>0</v>
      </c>
      <c r="U46" s="396" t="s">
        <v>443</v>
      </c>
      <c r="V46" s="390" t="s">
        <v>453</v>
      </c>
      <c r="W46" s="404">
        <v>2200</v>
      </c>
      <c r="X46" s="404">
        <v>2000</v>
      </c>
      <c r="Y46" s="404">
        <v>1900</v>
      </c>
      <c r="Z46" s="404" t="s">
        <v>181</v>
      </c>
      <c r="AA46" s="404">
        <v>12500</v>
      </c>
      <c r="AB46" s="388" t="s">
        <v>587</v>
      </c>
      <c r="AC46" s="393" t="e">
        <f>NLIndexTable[[#This Row],[Elec Savings kWh]]</f>
        <v>#N/A</v>
      </c>
      <c r="AD46" s="409" t="e">
        <f>NLIndexTable[[#This Row],[Savings KWh/ft2]]*4131</f>
        <v>#N/A</v>
      </c>
      <c r="AE46" s="417" t="e">
        <f>NLIndexTable[[#This Row],[Savings KWh per unit]]*0.12</f>
        <v>#N/A</v>
      </c>
      <c r="AF46" s="408" t="e">
        <f>NLIndexTable[[#This Row],[Cost Per Unit]]/NLIndexTable[[#This Row],[$ savings/unit]]</f>
        <v>#N/A</v>
      </c>
    </row>
    <row r="47" spans="1:32" x14ac:dyDescent="0.35">
      <c r="A47" s="387" t="s">
        <v>78</v>
      </c>
      <c r="B47" s="388" t="s">
        <v>65</v>
      </c>
      <c r="C47" s="388" t="str">
        <f>NLIndexTable[[#This Row],[Type]]&amp;"-"&amp;NLIndexTable[[#This Row],[Category]]</f>
        <v>EE-HVAC</v>
      </c>
      <c r="D47" s="388" t="s">
        <v>748</v>
      </c>
      <c r="E47" s="388" t="s">
        <v>569</v>
      </c>
      <c r="F47" s="388" t="s">
        <v>569</v>
      </c>
      <c r="G47" s="388" t="s">
        <v>569</v>
      </c>
      <c r="H47" s="388" t="str">
        <f>"Mech_"&amp;NLIndexTable[[#This Row],[Type]]&amp;"-"&amp;NLIndexTable[[#This Row],[BCH Rerofit Technology]]</f>
        <v>Mech_EE-Low ambient rooftop HP MUA with electric preheat</v>
      </c>
      <c r="I47" s="388" t="s">
        <v>78</v>
      </c>
      <c r="J47" s="388" t="s">
        <v>180</v>
      </c>
      <c r="K47" s="388">
        <v>15</v>
      </c>
      <c r="L47" s="389">
        <v>2000</v>
      </c>
      <c r="M47" s="389" t="s">
        <v>769</v>
      </c>
      <c r="N47" s="389" t="s">
        <v>672</v>
      </c>
      <c r="O47" s="389" t="s">
        <v>182</v>
      </c>
      <c r="P47" s="388"/>
      <c r="Q47" s="388"/>
      <c r="R47" s="388" t="e">
        <f>(1-1/'Project Info'!$D$122)*'Project Info'!$D$92</f>
        <v>#N/A</v>
      </c>
      <c r="S47" s="388"/>
      <c r="T47" s="395" t="e">
        <f>'Project Info'!$D$99*(1-1/'Project Info'!$E$122)/1000</f>
        <v>#N/A</v>
      </c>
      <c r="U47" s="396" t="s">
        <v>443</v>
      </c>
      <c r="V47" s="390" t="s">
        <v>453</v>
      </c>
      <c r="W47" s="404" t="s">
        <v>438</v>
      </c>
      <c r="X47" s="404" t="s">
        <v>438</v>
      </c>
      <c r="Y47" s="404" t="s">
        <v>438</v>
      </c>
      <c r="Z47" s="404" t="s">
        <v>181</v>
      </c>
      <c r="AA47" s="404">
        <v>14000</v>
      </c>
      <c r="AB47" s="388" t="s">
        <v>602</v>
      </c>
      <c r="AC47" s="393" t="e">
        <f>NLIndexTable[[#This Row],[Elec Savings kWh]]</f>
        <v>#N/A</v>
      </c>
      <c r="AD47" s="409" t="e">
        <f>NLIndexTable[[#This Row],[Savings KWh/ft2]]*3000</f>
        <v>#N/A</v>
      </c>
      <c r="AE47" s="417" t="e">
        <f>NLIndexTable[[#This Row],[Savings KWh per unit]]*0.12</f>
        <v>#N/A</v>
      </c>
      <c r="AF47" s="408" t="e">
        <f>NLIndexTable[[#This Row],[Cost Per Unit]]/NLIndexTable[[#This Row],[$ savings/unit]]</f>
        <v>#N/A</v>
      </c>
    </row>
    <row r="48" spans="1:32" hidden="1" x14ac:dyDescent="0.35">
      <c r="A48" s="387" t="s">
        <v>78</v>
      </c>
      <c r="B48" s="388" t="s">
        <v>65</v>
      </c>
      <c r="C48" s="388" t="str">
        <f>NLIndexTable[[#This Row],[Type]]&amp;"-"&amp;NLIndexTable[[#This Row],[Category]]</f>
        <v>EE-HVAC</v>
      </c>
      <c r="D48" s="388" t="s">
        <v>111</v>
      </c>
      <c r="E48" s="388" t="s">
        <v>473</v>
      </c>
      <c r="F48" s="388" t="s">
        <v>473</v>
      </c>
      <c r="G48" s="388" t="s">
        <v>473</v>
      </c>
      <c r="H48" s="388" t="str">
        <f>"Mech_"&amp;NLIndexTable[[#This Row],[Type]]&amp;"-"&amp;NLIndexTable[[#This Row],[BCH Rerofit Technology]]</f>
        <v>Mech_EE-Thermostat</v>
      </c>
      <c r="I48" s="388" t="s">
        <v>78</v>
      </c>
      <c r="J48" s="388" t="s">
        <v>323</v>
      </c>
      <c r="K48" s="388">
        <v>15</v>
      </c>
      <c r="L48" s="397">
        <v>50</v>
      </c>
      <c r="M48" s="389" t="s">
        <v>170</v>
      </c>
      <c r="N48" s="389" t="s">
        <v>410</v>
      </c>
      <c r="O48" s="389" t="s">
        <v>573</v>
      </c>
      <c r="P48" s="388"/>
      <c r="Q48" s="388"/>
      <c r="R48" s="388" t="e">
        <f>'Project Info'!$D$91*0.04</f>
        <v>#N/A</v>
      </c>
      <c r="S48" s="388"/>
      <c r="T48" s="391">
        <v>0</v>
      </c>
      <c r="U48" s="396" t="s">
        <v>443</v>
      </c>
      <c r="V48" s="390" t="s">
        <v>74</v>
      </c>
      <c r="W48" s="404"/>
      <c r="X48" s="404"/>
      <c r="Y48" s="404"/>
      <c r="Z48" s="404" t="s">
        <v>170</v>
      </c>
      <c r="AA48" s="404">
        <v>200</v>
      </c>
      <c r="AB48" s="388" t="s">
        <v>581</v>
      </c>
      <c r="AC48" s="393" t="e">
        <f>NLIndexTable[[#This Row],[Elec Savings kWh]]</f>
        <v>#N/A</v>
      </c>
      <c r="AD48" s="409" t="e">
        <f>NLIndexTable[[#This Row],[Savings KWh/ft2]]*675/2</f>
        <v>#N/A</v>
      </c>
      <c r="AE48" s="417" t="e">
        <f>NLIndexTable[[#This Row],[Savings KWh per unit]]*0.12</f>
        <v>#N/A</v>
      </c>
      <c r="AF48" s="408" t="e">
        <f>NLIndexTable[[#This Row],[Cost Per Unit]]/NLIndexTable[[#This Row],[$ savings/unit]]</f>
        <v>#N/A</v>
      </c>
    </row>
    <row r="49" spans="1:32" x14ac:dyDescent="0.35">
      <c r="A49" s="387" t="s">
        <v>78</v>
      </c>
      <c r="B49" s="388" t="s">
        <v>132</v>
      </c>
      <c r="C49" s="388" t="str">
        <f>NLIndexTable[[#This Row],[Type]]&amp;"-"&amp;NLIndexTable[[#This Row],[Category]]</f>
        <v>LCE-HVAC</v>
      </c>
      <c r="D49" s="388" t="s">
        <v>745</v>
      </c>
      <c r="E49" s="388" t="s">
        <v>570</v>
      </c>
      <c r="F49" s="388" t="s">
        <v>473</v>
      </c>
      <c r="G49" s="388" t="s">
        <v>569</v>
      </c>
      <c r="H49" s="388" t="str">
        <f>"Mech_"&amp;NLIndexTable[[#This Row],[Type]]&amp;"-"&amp;NLIndexTable[[#This Row],[BCH Rerofit Technology]]</f>
        <v>Mech_LCE-Cold climate packaged terminal heat pump or single packaged vertical heat pump</v>
      </c>
      <c r="I49" s="388" t="s">
        <v>324</v>
      </c>
      <c r="J49" s="388" t="s">
        <v>183</v>
      </c>
      <c r="K49" s="388">
        <v>18</v>
      </c>
      <c r="L49" s="389">
        <v>3000</v>
      </c>
      <c r="M49" s="389" t="s">
        <v>170</v>
      </c>
      <c r="N49" s="389" t="s">
        <v>170</v>
      </c>
      <c r="O49" s="389" t="s">
        <v>184</v>
      </c>
      <c r="P49" s="388"/>
      <c r="Q49" s="388"/>
      <c r="R49" s="388" t="e">
        <f>-'Project Info'!$D$91/'Project Info'!$D$118*'Project Info'!$D$124-'Project Info'!$D$95</f>
        <v>#N/A</v>
      </c>
      <c r="S49" s="388" t="e">
        <f>'Project Info'!$D$91/0.68*'Project Info'!$D$124</f>
        <v>#N/A</v>
      </c>
      <c r="T49" s="395" t="e">
        <f>-'Project Info'!$D$97/'Project Info'!$E$118/1000</f>
        <v>#N/A</v>
      </c>
      <c r="U49" s="396" t="s">
        <v>443</v>
      </c>
      <c r="V49" s="390" t="s">
        <v>630</v>
      </c>
      <c r="W49" s="388"/>
      <c r="X49" s="388"/>
      <c r="Y49" s="388"/>
      <c r="Z49" s="388"/>
      <c r="AA49" s="388"/>
      <c r="AB49" s="388"/>
      <c r="AC49" s="388"/>
      <c r="AD49" s="388"/>
      <c r="AE49" s="419"/>
      <c r="AF49" s="388"/>
    </row>
    <row r="50" spans="1:32" x14ac:dyDescent="0.35">
      <c r="A50" s="387" t="s">
        <v>78</v>
      </c>
      <c r="B50" s="388" t="s">
        <v>132</v>
      </c>
      <c r="C50" s="388" t="str">
        <f>NLIndexTable[[#This Row],[Type]]&amp;"-"&amp;NLIndexTable[[#This Row],[Category]]</f>
        <v>LCE-HVAC</v>
      </c>
      <c r="D50" s="388" t="s">
        <v>755</v>
      </c>
      <c r="E50" s="388" t="s">
        <v>570</v>
      </c>
      <c r="F50" s="388" t="s">
        <v>569</v>
      </c>
      <c r="G50" s="388" t="s">
        <v>569</v>
      </c>
      <c r="H50" s="388" t="str">
        <f>"Mech_"&amp;NLIndexTable[[#This Row],[Type]]&amp;"-"&amp;NLIndexTable[[#This Row],[BCH Rerofit Technology]]</f>
        <v>Mech_LCE-Cold climate air source HP (mini-split)</v>
      </c>
      <c r="I50" s="388" t="s">
        <v>324</v>
      </c>
      <c r="J50" s="388" t="s">
        <v>183</v>
      </c>
      <c r="K50" s="388">
        <v>18</v>
      </c>
      <c r="L50" s="389">
        <v>3000</v>
      </c>
      <c r="M50" s="389" t="s">
        <v>170</v>
      </c>
      <c r="N50" s="389" t="s">
        <v>170</v>
      </c>
      <c r="O50" s="389" t="s">
        <v>184</v>
      </c>
      <c r="P50" s="388"/>
      <c r="Q50" s="388"/>
      <c r="R50" s="388" t="e">
        <f>-'Project Info'!$D$91/'Project Info'!$D$119*'Project Info'!$D$124-'Project Info'!$D$95</f>
        <v>#N/A</v>
      </c>
      <c r="S50" s="388" t="e">
        <f>'Project Info'!$D$91/0.68*'Project Info'!$D$124</f>
        <v>#N/A</v>
      </c>
      <c r="T50" s="395" t="e">
        <f>-'Project Info'!$D$97/'Project Info'!$E$119/1000</f>
        <v>#N/A</v>
      </c>
      <c r="U50" s="396" t="s">
        <v>443</v>
      </c>
      <c r="V50" s="390" t="s">
        <v>605</v>
      </c>
      <c r="W50" s="388"/>
      <c r="X50" s="388"/>
      <c r="Y50" s="388"/>
      <c r="Z50" s="388"/>
      <c r="AA50" s="388"/>
      <c r="AB50" s="388"/>
      <c r="AC50" s="388"/>
      <c r="AD50" s="388"/>
      <c r="AE50" s="419"/>
      <c r="AF50" s="388"/>
    </row>
    <row r="51" spans="1:32" hidden="1" x14ac:dyDescent="0.35">
      <c r="A51" s="387" t="s">
        <v>78</v>
      </c>
      <c r="B51" s="388" t="s">
        <v>132</v>
      </c>
      <c r="C51" s="388" t="str">
        <f>NLIndexTable[[#This Row],[Type]]&amp;"-"&amp;NLIndexTable[[#This Row],[Category]]</f>
        <v>LCE-HVAC</v>
      </c>
      <c r="D51" s="388" t="s">
        <v>449</v>
      </c>
      <c r="E51" s="388" t="s">
        <v>473</v>
      </c>
      <c r="F51" s="388" t="s">
        <v>473</v>
      </c>
      <c r="G51" s="388" t="s">
        <v>569</v>
      </c>
      <c r="H51" s="388" t="str">
        <f>"Mech_"&amp;NLIndexTable[[#This Row],[Type]]&amp;"-"&amp;NLIndexTable[[#This Row],[BCH Rerofit Technology]]</f>
        <v>Mech_LCE-In suite Air Source HP w/ existing gas heating backup (packaged or mini-split)</v>
      </c>
      <c r="I51" s="388" t="s">
        <v>324</v>
      </c>
      <c r="J51" s="388" t="s">
        <v>183</v>
      </c>
      <c r="K51" s="388">
        <v>18</v>
      </c>
      <c r="L51" s="389">
        <v>50</v>
      </c>
      <c r="M51" s="389" t="s">
        <v>407</v>
      </c>
      <c r="N51" s="389" t="s">
        <v>415</v>
      </c>
      <c r="O51" s="389" t="s">
        <v>184</v>
      </c>
      <c r="P51" s="388"/>
      <c r="Q51" s="388"/>
      <c r="R51" s="388" t="e">
        <f>-'Project Info'!$D$91/'Project Info'!$D$118*'Project Info'!$C$124-'Project Info'!$D$95</f>
        <v>#N/A</v>
      </c>
      <c r="S51" s="388" t="e">
        <f>'Project Info'!$D$91*'Project Info'!$C$124/0.8</f>
        <v>#N/A</v>
      </c>
      <c r="T51" s="395" t="e">
        <f>-'Project Info'!$D$97/'Project Info'!$E$118/1000</f>
        <v>#N/A</v>
      </c>
      <c r="U51" s="396" t="s">
        <v>443</v>
      </c>
      <c r="V51" s="390" t="s">
        <v>68</v>
      </c>
      <c r="W51" s="388"/>
      <c r="X51" s="388"/>
      <c r="Y51" s="388"/>
      <c r="Z51" s="388"/>
      <c r="AA51" s="388"/>
      <c r="AB51" s="388"/>
      <c r="AC51" s="388"/>
      <c r="AD51" s="388"/>
      <c r="AE51" s="419"/>
      <c r="AF51" s="388"/>
    </row>
    <row r="52" spans="1:32" hidden="1" x14ac:dyDescent="0.35">
      <c r="A52" s="387" t="s">
        <v>78</v>
      </c>
      <c r="B52" s="388" t="s">
        <v>132</v>
      </c>
      <c r="C52" s="388" t="str">
        <f>NLIndexTable[[#This Row],[Type]]&amp;"-"&amp;NLIndexTable[[#This Row],[Category]]</f>
        <v>LCE-HVAC</v>
      </c>
      <c r="D52" s="388" t="s">
        <v>495</v>
      </c>
      <c r="E52" s="388" t="s">
        <v>473</v>
      </c>
      <c r="F52" s="388" t="s">
        <v>473</v>
      </c>
      <c r="G52" s="388" t="s">
        <v>569</v>
      </c>
      <c r="H52" s="388" t="str">
        <f>"Mech_"&amp;NLIndexTable[[#This Row],[Type]]&amp;"-"&amp;NLIndexTable[[#This Row],[BCH Rerofit Technology]]</f>
        <v>Mech_LCE-Common Area Air Source Cold Climate HP (packaged or mini-split)</v>
      </c>
      <c r="I52" s="388" t="s">
        <v>324</v>
      </c>
      <c r="J52" s="388" t="s">
        <v>183</v>
      </c>
      <c r="K52" s="388">
        <v>18</v>
      </c>
      <c r="L52" s="389">
        <v>50</v>
      </c>
      <c r="M52" s="389" t="s">
        <v>407</v>
      </c>
      <c r="N52" s="389" t="s">
        <v>415</v>
      </c>
      <c r="O52" s="389" t="s">
        <v>184</v>
      </c>
      <c r="P52" s="388"/>
      <c r="Q52" s="388"/>
      <c r="R52" s="388" t="e">
        <f>-'Project Info'!$D$91/'Project Info'!$D$119-'Project Info'!$D$95</f>
        <v>#N/A</v>
      </c>
      <c r="S52" s="388" t="e">
        <f>'Project Info'!$D$91/0.8</f>
        <v>#N/A</v>
      </c>
      <c r="T52" s="395" t="e">
        <f>-'Project Info'!$D$97/'Project Info'!$E$119/1000</f>
        <v>#N/A</v>
      </c>
      <c r="U52" s="396" t="s">
        <v>443</v>
      </c>
      <c r="V52" s="390" t="s">
        <v>68</v>
      </c>
      <c r="W52" s="388"/>
      <c r="X52" s="388"/>
      <c r="Y52" s="388"/>
      <c r="Z52" s="388"/>
      <c r="AA52" s="388"/>
      <c r="AB52" s="388"/>
      <c r="AC52" s="388"/>
      <c r="AD52" s="388"/>
      <c r="AE52" s="419"/>
      <c r="AF52" s="388"/>
    </row>
    <row r="53" spans="1:32" hidden="1" x14ac:dyDescent="0.35">
      <c r="A53" s="387" t="s">
        <v>78</v>
      </c>
      <c r="B53" s="388" t="s">
        <v>132</v>
      </c>
      <c r="C53" s="388" t="str">
        <f>NLIndexTable[[#This Row],[Type]]&amp;"-"&amp;NLIndexTable[[#This Row],[Category]]</f>
        <v>LCE-HVAC</v>
      </c>
      <c r="D53" s="388" t="s">
        <v>496</v>
      </c>
      <c r="E53" s="388" t="s">
        <v>473</v>
      </c>
      <c r="F53" s="388" t="s">
        <v>473</v>
      </c>
      <c r="G53" s="388" t="s">
        <v>569</v>
      </c>
      <c r="H53" s="388" t="str">
        <f>"Mech_"&amp;NLIndexTable[[#This Row],[Type]]&amp;"-"&amp;NLIndexTable[[#This Row],[BCH Rerofit Technology]]</f>
        <v>Mech_LCE-Common Area Air Source HP w/ supplemental elec (packaged or mini-split)</v>
      </c>
      <c r="I53" s="388" t="s">
        <v>324</v>
      </c>
      <c r="J53" s="388" t="s">
        <v>183</v>
      </c>
      <c r="K53" s="388">
        <v>18</v>
      </c>
      <c r="L53" s="389">
        <v>50</v>
      </c>
      <c r="M53" s="389" t="s">
        <v>407</v>
      </c>
      <c r="N53" s="389" t="s">
        <v>415</v>
      </c>
      <c r="O53" s="389" t="s">
        <v>184</v>
      </c>
      <c r="P53" s="388"/>
      <c r="Q53" s="388"/>
      <c r="R53" s="388" t="e">
        <f>-'Project Info'!$D$91*(1-'Project Info'!$C$124)-'Project Info'!$D$91*('Project Info'!$C$124/'Project Info'!$D$118)-'Project Info'!$D$95</f>
        <v>#N/A</v>
      </c>
      <c r="S53" s="388" t="e">
        <f>'Project Info'!$D$91/0.8</f>
        <v>#N/A</v>
      </c>
      <c r="T53" s="395" t="e">
        <f>-'Project Info'!$D$97/1000</f>
        <v>#N/A</v>
      </c>
      <c r="U53" s="396" t="s">
        <v>443</v>
      </c>
      <c r="V53" s="390" t="s">
        <v>68</v>
      </c>
      <c r="W53" s="388"/>
      <c r="X53" s="388"/>
      <c r="Y53" s="388"/>
      <c r="Z53" s="388"/>
      <c r="AA53" s="388"/>
      <c r="AB53" s="388"/>
      <c r="AC53" s="388"/>
      <c r="AD53" s="388"/>
      <c r="AE53" s="419"/>
      <c r="AF53" s="388"/>
    </row>
    <row r="54" spans="1:32" hidden="1" x14ac:dyDescent="0.35">
      <c r="A54" s="387" t="s">
        <v>78</v>
      </c>
      <c r="B54" s="388" t="s">
        <v>132</v>
      </c>
      <c r="C54" s="388" t="str">
        <f>NLIndexTable[[#This Row],[Type]]&amp;"-"&amp;NLIndexTable[[#This Row],[Category]]</f>
        <v>LCE-HVAC</v>
      </c>
      <c r="D54" s="388" t="s">
        <v>499</v>
      </c>
      <c r="E54" s="388" t="s">
        <v>473</v>
      </c>
      <c r="F54" s="388" t="s">
        <v>473</v>
      </c>
      <c r="G54" s="388" t="s">
        <v>569</v>
      </c>
      <c r="H54" s="388" t="str">
        <f>"Mech_"&amp;NLIndexTable[[#This Row],[Type]]&amp;"-"&amp;NLIndexTable[[#This Row],[BCH Rerofit Technology]]</f>
        <v>Mech_LCE-Common Area Air Source HP w/ existing gas heating backup (packaged or mini-split)</v>
      </c>
      <c r="I54" s="388" t="s">
        <v>324</v>
      </c>
      <c r="J54" s="388" t="s">
        <v>183</v>
      </c>
      <c r="K54" s="388">
        <v>18</v>
      </c>
      <c r="L54" s="389">
        <v>50</v>
      </c>
      <c r="M54" s="389" t="s">
        <v>407</v>
      </c>
      <c r="N54" s="389" t="s">
        <v>415</v>
      </c>
      <c r="O54" s="389" t="s">
        <v>184</v>
      </c>
      <c r="P54" s="388"/>
      <c r="Q54" s="388"/>
      <c r="R54" s="388" t="e">
        <f>-'Project Info'!$D$91/'Project Info'!$D$118*'Project Info'!$C$124-'Project Info'!$D$95</f>
        <v>#N/A</v>
      </c>
      <c r="S54" s="388" t="e">
        <f>'Project Info'!$D$91*'Project Info'!$C$124/0.8</f>
        <v>#N/A</v>
      </c>
      <c r="T54" s="395" t="e">
        <f>-'Project Info'!$D$97/'Project Info'!$E$118/1000</f>
        <v>#N/A</v>
      </c>
      <c r="U54" s="396" t="s">
        <v>443</v>
      </c>
      <c r="V54" s="390" t="s">
        <v>68</v>
      </c>
      <c r="W54" s="388"/>
      <c r="X54" s="388"/>
      <c r="Y54" s="388"/>
      <c r="Z54" s="388"/>
      <c r="AA54" s="388"/>
      <c r="AB54" s="388"/>
      <c r="AC54" s="388"/>
      <c r="AD54" s="388"/>
      <c r="AE54" s="419"/>
      <c r="AF54" s="388"/>
    </row>
    <row r="55" spans="1:32" x14ac:dyDescent="0.35">
      <c r="A55" s="387" t="s">
        <v>78</v>
      </c>
      <c r="B55" s="388" t="s">
        <v>132</v>
      </c>
      <c r="C55" s="388" t="str">
        <f>NLIndexTable[[#This Row],[Type]]&amp;"-"&amp;NLIndexTable[[#This Row],[Category]]</f>
        <v>LCE-HVAC</v>
      </c>
      <c r="D55" s="388" t="s">
        <v>756</v>
      </c>
      <c r="E55" s="388" t="s">
        <v>570</v>
      </c>
      <c r="F55" s="388" t="s">
        <v>569</v>
      </c>
      <c r="G55" s="388" t="s">
        <v>569</v>
      </c>
      <c r="H55" s="388" t="str">
        <f>"Mech_"&amp;NLIndexTable[[#This Row],[Type]]&amp;"-"&amp;NLIndexTable[[#This Row],[BCH Rerofit Technology]]</f>
        <v>Mech_LCE-Cold climate air source HP (multi-split)</v>
      </c>
      <c r="I55" s="388" t="s">
        <v>324</v>
      </c>
      <c r="J55" s="388" t="s">
        <v>185</v>
      </c>
      <c r="K55" s="388">
        <v>18</v>
      </c>
      <c r="L55" s="389">
        <v>2400</v>
      </c>
      <c r="M55" s="389" t="s">
        <v>601</v>
      </c>
      <c r="N55" s="389" t="s">
        <v>601</v>
      </c>
      <c r="O55" s="389" t="s">
        <v>184</v>
      </c>
      <c r="P55" s="388"/>
      <c r="Q55" s="388"/>
      <c r="R55" s="388" t="e">
        <f>-'Project Info'!$D$91/'Project Info'!$D$119*'Project Info'!$D$124-'Project Info'!$D$95</f>
        <v>#N/A</v>
      </c>
      <c r="S55" s="388" t="e">
        <f>'Project Info'!$D$91/0.68*'Project Info'!$D$124</f>
        <v>#N/A</v>
      </c>
      <c r="T55" s="395" t="e">
        <f>-'Project Info'!$D$97/'Project Info'!$E$119/1000</f>
        <v>#N/A</v>
      </c>
      <c r="U55" s="396" t="s">
        <v>443</v>
      </c>
      <c r="V55" s="390" t="s">
        <v>606</v>
      </c>
      <c r="W55" s="388"/>
      <c r="X55" s="388"/>
      <c r="Y55" s="388"/>
      <c r="Z55" s="388"/>
      <c r="AA55" s="388"/>
      <c r="AB55" s="388"/>
      <c r="AC55" s="388"/>
      <c r="AD55" s="388"/>
      <c r="AE55" s="419"/>
      <c r="AF55" s="388"/>
    </row>
    <row r="56" spans="1:32" x14ac:dyDescent="0.35">
      <c r="A56" s="387" t="s">
        <v>78</v>
      </c>
      <c r="B56" s="388" t="s">
        <v>132</v>
      </c>
      <c r="C56" s="388" t="str">
        <f>NLIndexTable[[#This Row],[Type]]&amp;"-"&amp;NLIndexTable[[#This Row],[Category]]</f>
        <v>LCE-HVAC</v>
      </c>
      <c r="D56" s="388" t="s">
        <v>757</v>
      </c>
      <c r="E56" s="388" t="s">
        <v>570</v>
      </c>
      <c r="F56" s="388" t="s">
        <v>569</v>
      </c>
      <c r="G56" s="388" t="s">
        <v>569</v>
      </c>
      <c r="H56" s="388" t="str">
        <f>"Mech_"&amp;NLIndexTable[[#This Row],[Type]]&amp;"-"&amp;NLIndexTable[[#This Row],[BCH Rerofit Technology]]</f>
        <v>Mech_LCE-Central cold climate air source HP (multi-split or VRF)</v>
      </c>
      <c r="I56" s="388" t="s">
        <v>324</v>
      </c>
      <c r="J56" s="388" t="s">
        <v>185</v>
      </c>
      <c r="K56" s="388">
        <v>18</v>
      </c>
      <c r="L56" s="389">
        <v>3600</v>
      </c>
      <c r="M56" s="389" t="s">
        <v>769</v>
      </c>
      <c r="N56" s="389" t="s">
        <v>672</v>
      </c>
      <c r="O56" s="389" t="s">
        <v>184</v>
      </c>
      <c r="P56" s="388"/>
      <c r="Q56" s="388"/>
      <c r="R56" s="388" t="e">
        <f>-'Project Info'!$D$91/'Project Info'!$D$119*'Project Info'!$D$124-'Project Info'!$D$95</f>
        <v>#N/A</v>
      </c>
      <c r="S56" s="388" t="e">
        <f>'Project Info'!$D$91/0.68*'Project Info'!$D$124</f>
        <v>#N/A</v>
      </c>
      <c r="T56" s="395" t="e">
        <f>-'Project Info'!$D$97/'Project Info'!$E$119/1000</f>
        <v>#N/A</v>
      </c>
      <c r="U56" s="396" t="s">
        <v>443</v>
      </c>
      <c r="V56" s="390" t="s">
        <v>608</v>
      </c>
      <c r="W56" s="388"/>
      <c r="X56" s="388"/>
      <c r="Y56" s="388"/>
      <c r="Z56" s="388"/>
      <c r="AA56" s="388"/>
      <c r="AB56" s="388"/>
      <c r="AC56" s="388"/>
      <c r="AD56" s="388"/>
      <c r="AE56" s="419"/>
      <c r="AF56" s="388"/>
    </row>
    <row r="57" spans="1:32" hidden="1" x14ac:dyDescent="0.35">
      <c r="A57" s="387" t="s">
        <v>78</v>
      </c>
      <c r="B57" s="388" t="s">
        <v>132</v>
      </c>
      <c r="C57" s="388" t="str">
        <f>NLIndexTable[[#This Row],[Type]]&amp;"-"&amp;NLIndexTable[[#This Row],[Category]]</f>
        <v>LCE-HVAC</v>
      </c>
      <c r="D57" s="388" t="s">
        <v>448</v>
      </c>
      <c r="E57" s="388" t="s">
        <v>473</v>
      </c>
      <c r="F57" s="388" t="s">
        <v>473</v>
      </c>
      <c r="G57" s="388" t="s">
        <v>569</v>
      </c>
      <c r="H57" s="388" t="str">
        <f>"Mech_"&amp;NLIndexTable[[#This Row],[Type]]&amp;"-"&amp;NLIndexTable[[#This Row],[BCH Rerofit Technology]]</f>
        <v>Mech_LCE-Central Air Source HP w/ supplemental elec (multi-split or VRF)</v>
      </c>
      <c r="I57" s="388" t="s">
        <v>324</v>
      </c>
      <c r="J57" s="388" t="s">
        <v>185</v>
      </c>
      <c r="K57" s="388">
        <v>18</v>
      </c>
      <c r="L57" s="389">
        <v>50</v>
      </c>
      <c r="M57" s="389" t="s">
        <v>407</v>
      </c>
      <c r="N57" s="389" t="s">
        <v>415</v>
      </c>
      <c r="O57" s="389" t="s">
        <v>184</v>
      </c>
      <c r="P57" s="388"/>
      <c r="Q57" s="388"/>
      <c r="R57" s="388" t="e">
        <f>-'Project Info'!$D$91*(1-'Project Info'!$C$124)-'Project Info'!$D$91*('Project Info'!$C$124/'Project Info'!$D$118)-'Project Info'!$D$95</f>
        <v>#N/A</v>
      </c>
      <c r="S57" s="388" t="e">
        <f>'Project Info'!$D$91/0.8</f>
        <v>#N/A</v>
      </c>
      <c r="T57" s="395" t="e">
        <f>-'Project Info'!$D$97/1000</f>
        <v>#N/A</v>
      </c>
      <c r="U57" s="396" t="s">
        <v>443</v>
      </c>
      <c r="V57" s="390" t="s">
        <v>68</v>
      </c>
      <c r="W57" s="388"/>
      <c r="X57" s="388"/>
      <c r="Y57" s="388"/>
      <c r="Z57" s="388"/>
      <c r="AA57" s="388"/>
      <c r="AB57" s="388"/>
      <c r="AC57" s="388"/>
      <c r="AD57" s="388"/>
      <c r="AE57" s="419"/>
      <c r="AF57" s="388"/>
    </row>
    <row r="58" spans="1:32" hidden="1" x14ac:dyDescent="0.35">
      <c r="A58" s="387" t="s">
        <v>78</v>
      </c>
      <c r="B58" s="388" t="s">
        <v>132</v>
      </c>
      <c r="C58" s="388" t="str">
        <f>NLIndexTable[[#This Row],[Type]]&amp;"-"&amp;NLIndexTable[[#This Row],[Category]]</f>
        <v>LCE-HVAC</v>
      </c>
      <c r="D58" s="388" t="s">
        <v>450</v>
      </c>
      <c r="E58" s="388" t="s">
        <v>473</v>
      </c>
      <c r="F58" s="388" t="s">
        <v>473</v>
      </c>
      <c r="G58" s="388" t="s">
        <v>569</v>
      </c>
      <c r="H58" s="398" t="str">
        <f>"Mech_"&amp;NLIndexTable[[#This Row],[Type]]&amp;"-"&amp;NLIndexTable[[#This Row],[BCH Rerofit Technology]]</f>
        <v>Mech_LCE-Central Air Source HP w/ existing gas heating backup (multi-split or VRF)</v>
      </c>
      <c r="I58" s="388" t="s">
        <v>324</v>
      </c>
      <c r="J58" s="388" t="s">
        <v>185</v>
      </c>
      <c r="K58" s="388">
        <v>18</v>
      </c>
      <c r="L58" s="389">
        <v>50</v>
      </c>
      <c r="M58" s="389" t="s">
        <v>407</v>
      </c>
      <c r="N58" s="389" t="s">
        <v>415</v>
      </c>
      <c r="O58" s="389" t="s">
        <v>184</v>
      </c>
      <c r="P58" s="388"/>
      <c r="Q58" s="388"/>
      <c r="R58" s="388" t="e">
        <f>-'Project Info'!$D$91/'Project Info'!$D$118*'Project Info'!$C$124-'Project Info'!$D$95</f>
        <v>#N/A</v>
      </c>
      <c r="S58" s="388" t="e">
        <f>'Project Info'!$D$91*'Project Info'!$C$124/0.8</f>
        <v>#N/A</v>
      </c>
      <c r="T58" s="395" t="e">
        <f>-'Project Info'!$D$97/'Project Info'!$E$118/1000</f>
        <v>#N/A</v>
      </c>
      <c r="U58" s="396" t="s">
        <v>443</v>
      </c>
      <c r="V58" s="390" t="s">
        <v>68</v>
      </c>
      <c r="W58" s="388"/>
      <c r="X58" s="388"/>
      <c r="Y58" s="388"/>
      <c r="Z58" s="388"/>
      <c r="AA58" s="388"/>
      <c r="AB58" s="388"/>
      <c r="AC58" s="388"/>
      <c r="AD58" s="388"/>
      <c r="AE58" s="419"/>
      <c r="AF58" s="388"/>
    </row>
    <row r="59" spans="1:32" x14ac:dyDescent="0.35">
      <c r="A59" s="387" t="s">
        <v>78</v>
      </c>
      <c r="B59" s="388" t="s">
        <v>132</v>
      </c>
      <c r="C59" s="388" t="str">
        <f>NLIndexTable[[#This Row],[Type]]&amp;"-"&amp;NLIndexTable[[#This Row],[Category]]</f>
        <v>LCE-HVAC</v>
      </c>
      <c r="D59" s="388" t="s">
        <v>747</v>
      </c>
      <c r="E59" s="388" t="s">
        <v>569</v>
      </c>
      <c r="F59" s="388" t="s">
        <v>569</v>
      </c>
      <c r="G59" s="388" t="s">
        <v>569</v>
      </c>
      <c r="H59" s="388" t="str">
        <f>"Mech_"&amp;NLIndexTable[[#This Row],[Type]]&amp;"-"&amp;NLIndexTable[[#This Row],[BCH Rerofit Technology]]</f>
        <v>Mech_LCE-Rooftop HP MUA with supplemental electric heating</v>
      </c>
      <c r="I59" s="388" t="s">
        <v>324</v>
      </c>
      <c r="J59" s="388" t="s">
        <v>325</v>
      </c>
      <c r="K59" s="388">
        <v>15</v>
      </c>
      <c r="L59" s="389">
        <v>4500</v>
      </c>
      <c r="M59" s="389" t="s">
        <v>769</v>
      </c>
      <c r="N59" s="389" t="s">
        <v>672</v>
      </c>
      <c r="O59" s="389" t="s">
        <v>184</v>
      </c>
      <c r="P59" s="388"/>
      <c r="Q59" s="388"/>
      <c r="R59" s="388" t="e">
        <f>-'Project Info'!$D$92/'Project Info'!$D$123</f>
        <v>#N/A</v>
      </c>
      <c r="S59" s="388" t="e">
        <f>'Project Info'!$D$92/0.68</f>
        <v>#N/A</v>
      </c>
      <c r="T59" s="395" t="e">
        <f>-'Project Info'!$D$99/1000*1.1</f>
        <v>#N/A</v>
      </c>
      <c r="U59" s="396" t="s">
        <v>443</v>
      </c>
      <c r="V59" s="390" t="s">
        <v>453</v>
      </c>
      <c r="W59" s="388"/>
      <c r="X59" s="388"/>
      <c r="Y59" s="388"/>
      <c r="Z59" s="388"/>
      <c r="AA59" s="388"/>
      <c r="AB59" s="388"/>
      <c r="AC59" s="388"/>
      <c r="AD59" s="388"/>
      <c r="AE59" s="419"/>
      <c r="AF59" s="388"/>
    </row>
    <row r="60" spans="1:32" hidden="1" x14ac:dyDescent="0.35">
      <c r="A60" s="387" t="s">
        <v>78</v>
      </c>
      <c r="B60" s="388" t="s">
        <v>132</v>
      </c>
      <c r="C60" s="388" t="str">
        <f>NLIndexTable[[#This Row],[Type]]&amp;"-"&amp;NLIndexTable[[#This Row],[Category]]</f>
        <v>LCE-HVAC</v>
      </c>
      <c r="D60" s="388" t="s">
        <v>138</v>
      </c>
      <c r="E60" s="388" t="s">
        <v>473</v>
      </c>
      <c r="F60" s="388" t="s">
        <v>473</v>
      </c>
      <c r="G60" s="388" t="s">
        <v>569</v>
      </c>
      <c r="H60" s="388" t="str">
        <f>"Mech_"&amp;NLIndexTable[[#This Row],[Type]]&amp;"-"&amp;NLIndexTable[[#This Row],[BCH Rerofit Technology]]</f>
        <v>Mech_LCE-Rooftop HP MUA (supplemental gas)</v>
      </c>
      <c r="I60" s="388" t="s">
        <v>324</v>
      </c>
      <c r="J60" s="388" t="s">
        <v>326</v>
      </c>
      <c r="K60" s="388">
        <v>15</v>
      </c>
      <c r="L60" s="389">
        <v>50</v>
      </c>
      <c r="M60" s="389" t="s">
        <v>407</v>
      </c>
      <c r="N60" s="389" t="s">
        <v>415</v>
      </c>
      <c r="O60" s="389" t="s">
        <v>184</v>
      </c>
      <c r="P60" s="388"/>
      <c r="Q60" s="388"/>
      <c r="R60" s="388" t="e">
        <f>-'Project Info'!$D$92*'Project Info'!$C$124/'Project Info'!$D$118</f>
        <v>#N/A</v>
      </c>
      <c r="S60" s="388" t="e">
        <f>'Project Info'!$D$92*'Project Info'!$C$124/0.8</f>
        <v>#N/A</v>
      </c>
      <c r="T60" s="395" t="e">
        <f>-'Project Info'!$D$99/'Project Info'!$E$118/1000</f>
        <v>#N/A</v>
      </c>
      <c r="U60" s="396" t="s">
        <v>443</v>
      </c>
      <c r="V60" s="390" t="s">
        <v>453</v>
      </c>
      <c r="W60" s="388"/>
      <c r="X60" s="388"/>
      <c r="Y60" s="388"/>
      <c r="Z60" s="388"/>
      <c r="AA60" s="388"/>
      <c r="AB60" s="388"/>
      <c r="AC60" s="388"/>
      <c r="AD60" s="388"/>
      <c r="AE60" s="419"/>
      <c r="AF60" s="388"/>
    </row>
    <row r="61" spans="1:32" x14ac:dyDescent="0.35">
      <c r="A61" s="387" t="s">
        <v>78</v>
      </c>
      <c r="B61" s="388" t="s">
        <v>132</v>
      </c>
      <c r="C61" s="388" t="str">
        <f>NLIndexTable[[#This Row],[Type]]&amp;"-"&amp;NLIndexTable[[#This Row],[Category]]</f>
        <v>LCE-HVAC</v>
      </c>
      <c r="D61" s="388" t="s">
        <v>748</v>
      </c>
      <c r="E61" s="388" t="s">
        <v>569</v>
      </c>
      <c r="F61" s="388" t="s">
        <v>569</v>
      </c>
      <c r="G61" s="388" t="s">
        <v>569</v>
      </c>
      <c r="H61" s="388" t="str">
        <f>"Mech_"&amp;NLIndexTable[[#This Row],[Type]]&amp;"-"&amp;NLIndexTable[[#This Row],[BCH Rerofit Technology]]</f>
        <v>Mech_LCE-Low ambient rooftop HP MUA with electric preheat</v>
      </c>
      <c r="I61" s="388" t="s">
        <v>324</v>
      </c>
      <c r="J61" s="388" t="s">
        <v>325</v>
      </c>
      <c r="K61" s="388">
        <v>15</v>
      </c>
      <c r="L61" s="389">
        <v>6000</v>
      </c>
      <c r="M61" s="389" t="s">
        <v>769</v>
      </c>
      <c r="N61" s="389" t="s">
        <v>672</v>
      </c>
      <c r="O61" s="389" t="s">
        <v>184</v>
      </c>
      <c r="P61" s="388"/>
      <c r="Q61" s="388"/>
      <c r="R61" s="388" t="e">
        <f>-'Project Info'!$D$92/'Project Info'!$D$122</f>
        <v>#N/A</v>
      </c>
      <c r="S61" s="388" t="e">
        <f>'Project Info'!$D$92/0.68</f>
        <v>#N/A</v>
      </c>
      <c r="T61" s="395" t="e">
        <f>-'Project Info'!$D$99/1000*1.1/'Project Info'!$E$122</f>
        <v>#N/A</v>
      </c>
      <c r="U61" s="396" t="s">
        <v>443</v>
      </c>
      <c r="V61" s="390" t="s">
        <v>453</v>
      </c>
      <c r="W61" s="388"/>
      <c r="X61" s="388"/>
      <c r="Y61" s="388"/>
      <c r="Z61" s="388"/>
      <c r="AA61" s="388"/>
      <c r="AB61" s="388"/>
      <c r="AC61" s="388"/>
      <c r="AD61" s="388"/>
      <c r="AE61" s="419"/>
      <c r="AF61" s="388"/>
    </row>
    <row r="62" spans="1:32" x14ac:dyDescent="0.35">
      <c r="A62" s="387" t="s">
        <v>70</v>
      </c>
      <c r="B62" s="388" t="s">
        <v>65</v>
      </c>
      <c r="C62" s="388" t="str">
        <f>NLIndexTable[[#This Row],[Type]]&amp;"-"&amp;NLIndexTable[[#This Row],[Category]]</f>
        <v>EE-Mechanical</v>
      </c>
      <c r="D62" s="388" t="s">
        <v>749</v>
      </c>
      <c r="E62" s="388" t="s">
        <v>569</v>
      </c>
      <c r="F62" s="388" t="s">
        <v>569</v>
      </c>
      <c r="G62" s="388" t="s">
        <v>569</v>
      </c>
      <c r="H62" s="388" t="str">
        <f>"Mech_"&amp;NLIndexTable[[#This Row],[Type]]&amp;"-"&amp;NLIndexTable[[#This Row],[BCH Rerofit Technology]]</f>
        <v>Mech_EE-Variable speed drive for motors, &lt;20 HP</v>
      </c>
      <c r="I62" s="388" t="s">
        <v>78</v>
      </c>
      <c r="J62" s="388" t="s">
        <v>327</v>
      </c>
      <c r="K62" s="388">
        <v>10</v>
      </c>
      <c r="L62" s="389">
        <v>140</v>
      </c>
      <c r="M62" s="389" t="s">
        <v>768</v>
      </c>
      <c r="N62" s="389" t="s">
        <v>413</v>
      </c>
      <c r="O62" s="389" t="s">
        <v>158</v>
      </c>
      <c r="P62" s="388"/>
      <c r="Q62" s="388"/>
      <c r="R62" s="388" t="s">
        <v>186</v>
      </c>
      <c r="S62" s="388"/>
      <c r="T62" s="391">
        <v>0</v>
      </c>
      <c r="U62" s="388" t="s">
        <v>444</v>
      </c>
      <c r="V62" s="390" t="s">
        <v>70</v>
      </c>
      <c r="W62" s="404"/>
      <c r="X62" s="404"/>
      <c r="Y62" s="404"/>
      <c r="Z62" s="404" t="s">
        <v>578</v>
      </c>
      <c r="AA62" s="404">
        <v>600</v>
      </c>
      <c r="AB62" s="388" t="s">
        <v>580</v>
      </c>
      <c r="AC62" s="388"/>
      <c r="AD62" s="409">
        <f>0.7457*(1-0.8^2.5)*8760*0.85</f>
        <v>2374.0559233772583</v>
      </c>
      <c r="AE62" s="407">
        <f>NLIndexTable[[#This Row],[Savings KWh per unit]]*AVERAGE(NLVar!$B$8:$B$9)</f>
        <v>326.43268946437303</v>
      </c>
      <c r="AF62" s="408">
        <f>NLIndexTable[[#This Row],[Cost Per Unit]]/NLIndexTable[[#This Row],[$ savings/unit]]</f>
        <v>1.8380512104486526</v>
      </c>
    </row>
    <row r="63" spans="1:32" x14ac:dyDescent="0.35">
      <c r="A63" s="387" t="s">
        <v>70</v>
      </c>
      <c r="B63" s="388" t="s">
        <v>65</v>
      </c>
      <c r="C63" s="388" t="str">
        <f>NLIndexTable[[#This Row],[Type]]&amp;"-"&amp;NLIndexTable[[#This Row],[Category]]</f>
        <v>EE-Mechanical</v>
      </c>
      <c r="D63" s="388" t="s">
        <v>750</v>
      </c>
      <c r="E63" s="388" t="s">
        <v>569</v>
      </c>
      <c r="F63" s="388" t="s">
        <v>569</v>
      </c>
      <c r="G63" s="388" t="s">
        <v>569</v>
      </c>
      <c r="H63" s="388" t="str">
        <f>"Mech_"&amp;NLIndexTable[[#This Row],[Type]]&amp;"-"&amp;NLIndexTable[[#This Row],[BCH Rerofit Technology]]</f>
        <v>Mech_EE-Variable speed drive for motors, &gt;20 HP</v>
      </c>
      <c r="I63" s="388" t="s">
        <v>78</v>
      </c>
      <c r="J63" s="388" t="s">
        <v>327</v>
      </c>
      <c r="K63" s="388">
        <v>10</v>
      </c>
      <c r="L63" s="389">
        <v>112</v>
      </c>
      <c r="M63" s="389" t="s">
        <v>768</v>
      </c>
      <c r="N63" s="389" t="s">
        <v>413</v>
      </c>
      <c r="O63" s="389" t="s">
        <v>158</v>
      </c>
      <c r="P63" s="388"/>
      <c r="Q63" s="388"/>
      <c r="R63" s="388" t="s">
        <v>186</v>
      </c>
      <c r="S63" s="388"/>
      <c r="T63" s="391">
        <v>0</v>
      </c>
      <c r="U63" s="388" t="s">
        <v>444</v>
      </c>
      <c r="V63" s="390" t="s">
        <v>70</v>
      </c>
      <c r="W63" s="404"/>
      <c r="X63" s="404"/>
      <c r="Y63" s="404"/>
      <c r="Z63" s="404" t="s">
        <v>578</v>
      </c>
      <c r="AA63" s="404">
        <v>280</v>
      </c>
      <c r="AB63" s="388" t="s">
        <v>579</v>
      </c>
      <c r="AC63" s="388"/>
      <c r="AD63" s="409">
        <f>0.7457*(1-0.8^2.5)*8760*0.85</f>
        <v>2374.0559233772583</v>
      </c>
      <c r="AE63" s="407">
        <f>NLIndexTable[[#This Row],[Savings KWh per unit]]*AVERAGE(NLVar!$B$8:$B$9)</f>
        <v>326.43268946437303</v>
      </c>
      <c r="AF63" s="408">
        <f>NLIndexTable[[#This Row],[Cost Per Unit]]/NLIndexTable[[#This Row],[$ savings/unit]]</f>
        <v>0.85775723154270456</v>
      </c>
    </row>
    <row r="64" spans="1:32" x14ac:dyDescent="0.35">
      <c r="A64" s="387" t="s">
        <v>70</v>
      </c>
      <c r="B64" s="388" t="s">
        <v>65</v>
      </c>
      <c r="C64" s="388" t="str">
        <f>NLIndexTable[[#This Row],[Type]]&amp;"-"&amp;NLIndexTable[[#This Row],[Category]]</f>
        <v>EE-Mechanical</v>
      </c>
      <c r="D64" s="388" t="s">
        <v>751</v>
      </c>
      <c r="E64" s="388" t="s">
        <v>569</v>
      </c>
      <c r="F64" s="388" t="s">
        <v>569</v>
      </c>
      <c r="G64" s="388" t="s">
        <v>569</v>
      </c>
      <c r="H64" s="388" t="str">
        <f>"Mech_"&amp;NLIndexTable[[#This Row],[Type]]&amp;"-"&amp;NLIndexTable[[#This Row],[BCH Rerofit Technology]]</f>
        <v>Mech_EE-Parkade CO - HVAC controls</v>
      </c>
      <c r="I64" s="388" t="s">
        <v>78</v>
      </c>
      <c r="J64" s="388" t="s">
        <v>187</v>
      </c>
      <c r="K64" s="388">
        <v>5</v>
      </c>
      <c r="L64" s="389">
        <v>250</v>
      </c>
      <c r="M64" s="389" t="s">
        <v>170</v>
      </c>
      <c r="N64" s="389" t="s">
        <v>410</v>
      </c>
      <c r="O64" s="389" t="s">
        <v>175</v>
      </c>
      <c r="P64" s="388"/>
      <c r="Q64" s="388"/>
      <c r="R64" s="388" t="s">
        <v>186</v>
      </c>
      <c r="S64" s="388"/>
      <c r="T64" s="391">
        <v>0</v>
      </c>
      <c r="U64" s="388" t="s">
        <v>444</v>
      </c>
      <c r="V64" s="390" t="s">
        <v>70</v>
      </c>
      <c r="W64" s="404"/>
      <c r="X64" s="404"/>
      <c r="Y64" s="404"/>
      <c r="Z64" s="404" t="s">
        <v>170</v>
      </c>
      <c r="AA64" s="404">
        <v>2500</v>
      </c>
      <c r="AB64" s="388" t="s">
        <v>582</v>
      </c>
      <c r="AC64" s="388"/>
      <c r="AD64" s="409">
        <f>5*0.7457*365*0.85</f>
        <v>1156.7671250000001</v>
      </c>
      <c r="AE64" s="407">
        <f>NLIndexTable[[#This Row],[Savings KWh per unit]]*AVERAGE(NLVar!$B$8:$B$9)</f>
        <v>159.05547968750002</v>
      </c>
      <c r="AF64" s="408">
        <f>NLIndexTable[[#This Row],[Cost Per Unit]]/NLIndexTable[[#This Row],[$ savings/unit]]</f>
        <v>15.717786051205577</v>
      </c>
    </row>
    <row r="65" spans="1:32" hidden="1" x14ac:dyDescent="0.35">
      <c r="A65" s="387" t="s">
        <v>72</v>
      </c>
      <c r="B65" s="388" t="s">
        <v>65</v>
      </c>
      <c r="C65" s="388" t="str">
        <f>NLIndexTable[[#This Row],[Type]]&amp;"-"&amp;NLIndexTable[[#This Row],[Category]]</f>
        <v>EE-Refrigeration</v>
      </c>
      <c r="D65" s="388" t="s">
        <v>85</v>
      </c>
      <c r="E65" s="388" t="s">
        <v>473</v>
      </c>
      <c r="F65" s="388" t="s">
        <v>473</v>
      </c>
      <c r="G65" s="388" t="s">
        <v>569</v>
      </c>
      <c r="H65" s="388" t="str">
        <f>"Mech_"&amp;NLIndexTable[[#This Row],[Type]]&amp;"-"&amp;NLIndexTable[[#This Row],[BCH Rerofit Technology]]</f>
        <v>Mech_EE-Anti-Sweat Heater Humidistat Control</v>
      </c>
      <c r="I65" s="388" t="s">
        <v>72</v>
      </c>
      <c r="J65" s="388" t="s">
        <v>188</v>
      </c>
      <c r="K65" s="388">
        <v>12</v>
      </c>
      <c r="L65" s="389">
        <v>73</v>
      </c>
      <c r="M65" s="389" t="s">
        <v>330</v>
      </c>
      <c r="N65" s="389" t="s">
        <v>414</v>
      </c>
      <c r="O65" s="389" t="s">
        <v>158</v>
      </c>
      <c r="P65" s="388"/>
      <c r="Q65" s="388"/>
      <c r="R65" s="388">
        <v>400</v>
      </c>
      <c r="S65" s="388"/>
      <c r="T65" s="391">
        <v>0</v>
      </c>
      <c r="U65" s="388" t="s">
        <v>438</v>
      </c>
      <c r="V65" s="390" t="s">
        <v>73</v>
      </c>
      <c r="W65" s="388"/>
      <c r="X65" s="388"/>
      <c r="Y65" s="388"/>
      <c r="Z65" s="388"/>
      <c r="AA65" s="388"/>
      <c r="AB65" s="388"/>
      <c r="AC65" s="388"/>
      <c r="AD65" s="388"/>
      <c r="AE65" s="419"/>
      <c r="AF65" s="388"/>
    </row>
    <row r="66" spans="1:32" hidden="1" x14ac:dyDescent="0.35">
      <c r="A66" s="387" t="s">
        <v>72</v>
      </c>
      <c r="B66" s="388" t="s">
        <v>65</v>
      </c>
      <c r="C66" s="388" t="str">
        <f>NLIndexTable[[#This Row],[Type]]&amp;"-"&amp;NLIndexTable[[#This Row],[Category]]</f>
        <v>EE-Refrigeration</v>
      </c>
      <c r="D66" s="388" t="s">
        <v>91</v>
      </c>
      <c r="E66" s="388" t="s">
        <v>473</v>
      </c>
      <c r="F66" s="388" t="s">
        <v>473</v>
      </c>
      <c r="G66" s="388" t="s">
        <v>569</v>
      </c>
      <c r="H66" s="388" t="str">
        <f>"Mech_"&amp;NLIndexTable[[#This Row],[Type]]&amp;"-"&amp;NLIndexTable[[#This Row],[BCH Rerofit Technology]]</f>
        <v>Mech_EE-Refrigerated Display Case Night Cover</v>
      </c>
      <c r="I66" s="388" t="s">
        <v>72</v>
      </c>
      <c r="J66" s="388" t="s">
        <v>191</v>
      </c>
      <c r="K66" s="388">
        <v>5</v>
      </c>
      <c r="L66" s="389">
        <v>30</v>
      </c>
      <c r="M66" s="389" t="s">
        <v>330</v>
      </c>
      <c r="N66" s="389" t="s">
        <v>414</v>
      </c>
      <c r="O66" s="389" t="s">
        <v>158</v>
      </c>
      <c r="P66" s="388"/>
      <c r="Q66" s="388"/>
      <c r="R66" s="388">
        <v>57</v>
      </c>
      <c r="S66" s="388"/>
      <c r="T66" s="391">
        <v>0</v>
      </c>
      <c r="U66" s="388" t="s">
        <v>438</v>
      </c>
      <c r="V66" s="390" t="s">
        <v>73</v>
      </c>
      <c r="W66" s="388"/>
      <c r="X66" s="388"/>
      <c r="Y66" s="388"/>
      <c r="Z66" s="388"/>
      <c r="AA66" s="388"/>
      <c r="AB66" s="388"/>
      <c r="AC66" s="388"/>
      <c r="AD66" s="388"/>
      <c r="AE66" s="419"/>
      <c r="AF66" s="388"/>
    </row>
    <row r="67" spans="1:32" hidden="1" x14ac:dyDescent="0.35">
      <c r="A67" s="387" t="s">
        <v>72</v>
      </c>
      <c r="B67" s="388" t="s">
        <v>65</v>
      </c>
      <c r="C67" s="388" t="str">
        <f>NLIndexTable[[#This Row],[Type]]&amp;"-"&amp;NLIndexTable[[#This Row],[Category]]</f>
        <v>EE-Refrigeration</v>
      </c>
      <c r="D67" s="388" t="s">
        <v>91</v>
      </c>
      <c r="E67" s="388" t="s">
        <v>473</v>
      </c>
      <c r="F67" s="388" t="s">
        <v>473</v>
      </c>
      <c r="G67" s="388" t="s">
        <v>569</v>
      </c>
      <c r="H67" s="388" t="str">
        <f>"Mech_"&amp;NLIndexTable[[#This Row],[Type]]&amp;"-"&amp;NLIndexTable[[#This Row],[BCH Rerofit Technology]]</f>
        <v>Mech_EE-Refrigerated Display Case Night Cover</v>
      </c>
      <c r="I67" s="388" t="s">
        <v>72</v>
      </c>
      <c r="J67" s="388" t="s">
        <v>191</v>
      </c>
      <c r="K67" s="388">
        <v>5</v>
      </c>
      <c r="L67" s="389">
        <v>30</v>
      </c>
      <c r="M67" s="389" t="s">
        <v>330</v>
      </c>
      <c r="N67" s="389" t="s">
        <v>414</v>
      </c>
      <c r="O67" s="389" t="s">
        <v>158</v>
      </c>
      <c r="P67" s="388"/>
      <c r="Q67" s="388"/>
      <c r="R67" s="388">
        <v>148.19999999999999</v>
      </c>
      <c r="S67" s="388"/>
      <c r="T67" s="391">
        <v>0</v>
      </c>
      <c r="U67" s="388" t="s">
        <v>438</v>
      </c>
      <c r="V67" s="390" t="s">
        <v>73</v>
      </c>
      <c r="W67" s="388"/>
      <c r="X67" s="388"/>
      <c r="Y67" s="388"/>
      <c r="Z67" s="388"/>
      <c r="AA67" s="388"/>
      <c r="AB67" s="388"/>
      <c r="AC67" s="388"/>
      <c r="AD67" s="388"/>
      <c r="AE67" s="419"/>
      <c r="AF67" s="388"/>
    </row>
    <row r="68" spans="1:32" hidden="1" x14ac:dyDescent="0.35">
      <c r="A68" s="387" t="s">
        <v>72</v>
      </c>
      <c r="B68" s="388" t="s">
        <v>65</v>
      </c>
      <c r="C68" s="388" t="str">
        <f>NLIndexTable[[#This Row],[Type]]&amp;"-"&amp;NLIndexTable[[#This Row],[Category]]</f>
        <v>EE-Refrigeration</v>
      </c>
      <c r="D68" s="388" t="s">
        <v>95</v>
      </c>
      <c r="E68" s="388" t="s">
        <v>473</v>
      </c>
      <c r="F68" s="388" t="s">
        <v>473</v>
      </c>
      <c r="G68" s="388" t="s">
        <v>569</v>
      </c>
      <c r="H68" s="388" t="str">
        <f>"Mech_"&amp;NLIndexTable[[#This Row],[Type]]&amp;"-"&amp;NLIndexTable[[#This Row],[BCH Rerofit Technology]]</f>
        <v>Mech_EE-ENERGY STAR Glass Door Refrigerator, 425 to 850 L (15 to 30 ft3)</v>
      </c>
      <c r="I68" s="388" t="s">
        <v>72</v>
      </c>
      <c r="J68" s="388" t="s">
        <v>189</v>
      </c>
      <c r="K68" s="388">
        <v>12</v>
      </c>
      <c r="L68" s="389">
        <v>285</v>
      </c>
      <c r="M68" s="389" t="s">
        <v>190</v>
      </c>
      <c r="N68" s="389" t="s">
        <v>410</v>
      </c>
      <c r="O68" s="389" t="s">
        <v>158</v>
      </c>
      <c r="P68" s="388">
        <v>2205</v>
      </c>
      <c r="Q68" s="388">
        <v>1349</v>
      </c>
      <c r="R68" s="388">
        <v>856</v>
      </c>
      <c r="S68" s="388"/>
      <c r="T68" s="391">
        <v>0</v>
      </c>
      <c r="U68" s="388" t="s">
        <v>438</v>
      </c>
      <c r="V68" s="390" t="s">
        <v>72</v>
      </c>
      <c r="W68" s="388"/>
      <c r="X68" s="388"/>
      <c r="Y68" s="388"/>
      <c r="Z68" s="388"/>
      <c r="AA68" s="388"/>
      <c r="AB68" s="388"/>
      <c r="AC68" s="388"/>
      <c r="AD68" s="388"/>
      <c r="AE68" s="419"/>
      <c r="AF68" s="388"/>
    </row>
    <row r="69" spans="1:32" hidden="1" x14ac:dyDescent="0.35">
      <c r="A69" s="387" t="s">
        <v>72</v>
      </c>
      <c r="B69" s="388" t="s">
        <v>65</v>
      </c>
      <c r="C69" s="388" t="str">
        <f>NLIndexTable[[#This Row],[Type]]&amp;"-"&amp;NLIndexTable[[#This Row],[Category]]</f>
        <v>EE-Refrigeration</v>
      </c>
      <c r="D69" s="388" t="s">
        <v>98</v>
      </c>
      <c r="E69" s="388" t="s">
        <v>473</v>
      </c>
      <c r="F69" s="388" t="s">
        <v>473</v>
      </c>
      <c r="G69" s="388" t="s">
        <v>569</v>
      </c>
      <c r="H69" s="388" t="str">
        <f>"Mech_"&amp;NLIndexTable[[#This Row],[Type]]&amp;"-"&amp;NLIndexTable[[#This Row],[BCH Rerofit Technology]]</f>
        <v>Mech_EE-ENERGY STAR Glass Door Refrigerator, 850 to 1416 L (30 to 50 ft3)</v>
      </c>
      <c r="I69" s="388" t="s">
        <v>72</v>
      </c>
      <c r="J69" s="388" t="s">
        <v>189</v>
      </c>
      <c r="K69" s="388">
        <v>12</v>
      </c>
      <c r="L69" s="389">
        <v>350</v>
      </c>
      <c r="M69" s="389" t="s">
        <v>190</v>
      </c>
      <c r="N69" s="389" t="s">
        <v>410</v>
      </c>
      <c r="O69" s="389" t="s">
        <v>158</v>
      </c>
      <c r="P69" s="388">
        <v>2971</v>
      </c>
      <c r="Q69" s="388">
        <v>1978</v>
      </c>
      <c r="R69" s="388">
        <v>993</v>
      </c>
      <c r="S69" s="388"/>
      <c r="T69" s="391">
        <v>0</v>
      </c>
      <c r="U69" s="388" t="s">
        <v>438</v>
      </c>
      <c r="V69" s="390" t="s">
        <v>72</v>
      </c>
      <c r="W69" s="388"/>
      <c r="X69" s="388"/>
      <c r="Y69" s="388"/>
      <c r="Z69" s="388"/>
      <c r="AA69" s="388"/>
      <c r="AB69" s="388"/>
      <c r="AC69" s="388"/>
      <c r="AD69" s="388"/>
      <c r="AE69" s="419"/>
      <c r="AF69" s="388"/>
    </row>
    <row r="70" spans="1:32" hidden="1" x14ac:dyDescent="0.35">
      <c r="A70" s="387" t="s">
        <v>72</v>
      </c>
      <c r="B70" s="388" t="s">
        <v>65</v>
      </c>
      <c r="C70" s="388" t="str">
        <f>NLIndexTable[[#This Row],[Type]]&amp;"-"&amp;NLIndexTable[[#This Row],[Category]]</f>
        <v>EE-Refrigeration</v>
      </c>
      <c r="D70" s="388" t="s">
        <v>101</v>
      </c>
      <c r="E70" s="388" t="s">
        <v>473</v>
      </c>
      <c r="F70" s="388" t="s">
        <v>473</v>
      </c>
      <c r="G70" s="388" t="s">
        <v>569</v>
      </c>
      <c r="H70" s="388" t="str">
        <f>"Mech_"&amp;NLIndexTable[[#This Row],[Type]]&amp;"-"&amp;NLIndexTable[[#This Row],[BCH Rerofit Technology]]</f>
        <v>Mech_EE-ENERGY STAR Glass Door Refrigerator, Greater than 1416 L (Greater than 50 ft3)</v>
      </c>
      <c r="I70" s="388" t="s">
        <v>72</v>
      </c>
      <c r="J70" s="388" t="s">
        <v>189</v>
      </c>
      <c r="K70" s="388">
        <v>12</v>
      </c>
      <c r="L70" s="389">
        <v>400</v>
      </c>
      <c r="M70" s="389" t="s">
        <v>190</v>
      </c>
      <c r="N70" s="389" t="s">
        <v>410</v>
      </c>
      <c r="O70" s="389" t="s">
        <v>158</v>
      </c>
      <c r="P70" s="388">
        <v>3409</v>
      </c>
      <c r="Q70" s="388">
        <v>2197</v>
      </c>
      <c r="R70" s="388">
        <v>1212</v>
      </c>
      <c r="S70" s="388"/>
      <c r="T70" s="391">
        <v>0</v>
      </c>
      <c r="U70" s="388" t="s">
        <v>438</v>
      </c>
      <c r="V70" s="390" t="s">
        <v>72</v>
      </c>
      <c r="W70" s="388"/>
      <c r="X70" s="388"/>
      <c r="Y70" s="388"/>
      <c r="Z70" s="388"/>
      <c r="AA70" s="388"/>
      <c r="AB70" s="388"/>
      <c r="AC70" s="388"/>
      <c r="AD70" s="388"/>
      <c r="AE70" s="419"/>
      <c r="AF70" s="388"/>
    </row>
    <row r="71" spans="1:32" hidden="1" x14ac:dyDescent="0.35">
      <c r="A71" s="387" t="s">
        <v>72</v>
      </c>
      <c r="B71" s="388" t="s">
        <v>65</v>
      </c>
      <c r="C71" s="388" t="str">
        <f>NLIndexTable[[#This Row],[Type]]&amp;"-"&amp;NLIndexTable[[#This Row],[Category]]</f>
        <v>EE-Refrigeration</v>
      </c>
      <c r="D71" s="388" t="s">
        <v>105</v>
      </c>
      <c r="E71" s="388" t="s">
        <v>473</v>
      </c>
      <c r="F71" s="388" t="s">
        <v>473</v>
      </c>
      <c r="G71" s="388" t="s">
        <v>569</v>
      </c>
      <c r="H71" s="388" t="str">
        <f>"Mech_"&amp;NLIndexTable[[#This Row],[Type]]&amp;"-"&amp;NLIndexTable[[#This Row],[BCH Rerofit Technology]]</f>
        <v>Mech_EE-ENERGY STAR Glass Door Refrigerator, Less than 425 L (Less than 15 ft3)</v>
      </c>
      <c r="I71" s="388" t="s">
        <v>72</v>
      </c>
      <c r="J71" s="388" t="s">
        <v>189</v>
      </c>
      <c r="K71" s="388">
        <v>12</v>
      </c>
      <c r="L71" s="389">
        <v>220</v>
      </c>
      <c r="M71" s="389" t="s">
        <v>190</v>
      </c>
      <c r="N71" s="389" t="s">
        <v>410</v>
      </c>
      <c r="O71" s="389" t="s">
        <v>158</v>
      </c>
      <c r="P71" s="388">
        <v>1833</v>
      </c>
      <c r="Q71" s="388">
        <v>902</v>
      </c>
      <c r="R71" s="388">
        <v>931</v>
      </c>
      <c r="S71" s="388"/>
      <c r="T71" s="391">
        <v>0</v>
      </c>
      <c r="U71" s="388" t="s">
        <v>438</v>
      </c>
      <c r="V71" s="390" t="s">
        <v>72</v>
      </c>
      <c r="W71" s="388"/>
      <c r="X71" s="388"/>
      <c r="Y71" s="388"/>
      <c r="Z71" s="388"/>
      <c r="AA71" s="388"/>
      <c r="AB71" s="388"/>
      <c r="AC71" s="388"/>
      <c r="AD71" s="388"/>
      <c r="AE71" s="419"/>
      <c r="AF71" s="388"/>
    </row>
    <row r="72" spans="1:32" hidden="1" x14ac:dyDescent="0.35">
      <c r="A72" s="387" t="s">
        <v>72</v>
      </c>
      <c r="B72" s="388" t="s">
        <v>65</v>
      </c>
      <c r="C72" s="388" t="str">
        <f>NLIndexTable[[#This Row],[Type]]&amp;"-"&amp;NLIndexTable[[#This Row],[Category]]</f>
        <v>EE-Refrigeration</v>
      </c>
      <c r="D72" s="388" t="s">
        <v>108</v>
      </c>
      <c r="E72" s="388" t="s">
        <v>473</v>
      </c>
      <c r="F72" s="388" t="s">
        <v>473</v>
      </c>
      <c r="G72" s="388" t="s">
        <v>569</v>
      </c>
      <c r="H72" s="388" t="str">
        <f>"Mech_"&amp;NLIndexTable[[#This Row],[Type]]&amp;"-"&amp;NLIndexTable[[#This Row],[BCH Rerofit Technology]]</f>
        <v>Mech_EE-ENERGY STAR Solid Door Refrigerator, 425 to 850 L (15 to 30 ft3)</v>
      </c>
      <c r="I72" s="388" t="s">
        <v>72</v>
      </c>
      <c r="J72" s="388" t="s">
        <v>189</v>
      </c>
      <c r="K72" s="388">
        <v>12</v>
      </c>
      <c r="L72" s="389">
        <v>320</v>
      </c>
      <c r="M72" s="389" t="s">
        <v>190</v>
      </c>
      <c r="N72" s="389" t="s">
        <v>410</v>
      </c>
      <c r="O72" s="389" t="s">
        <v>158</v>
      </c>
      <c r="P72" s="388">
        <v>1566</v>
      </c>
      <c r="Q72" s="388">
        <v>940</v>
      </c>
      <c r="R72" s="388">
        <v>626</v>
      </c>
      <c r="S72" s="388"/>
      <c r="T72" s="391">
        <v>0</v>
      </c>
      <c r="U72" s="388" t="s">
        <v>438</v>
      </c>
      <c r="V72" s="390" t="s">
        <v>72</v>
      </c>
      <c r="W72" s="388"/>
      <c r="X72" s="388"/>
      <c r="Y72" s="388"/>
      <c r="Z72" s="388"/>
      <c r="AA72" s="388"/>
      <c r="AB72" s="388"/>
      <c r="AC72" s="388"/>
      <c r="AD72" s="388"/>
      <c r="AE72" s="419"/>
      <c r="AF72" s="388"/>
    </row>
    <row r="73" spans="1:32" hidden="1" x14ac:dyDescent="0.35">
      <c r="A73" s="387" t="s">
        <v>72</v>
      </c>
      <c r="B73" s="388" t="s">
        <v>65</v>
      </c>
      <c r="C73" s="388" t="str">
        <f>NLIndexTable[[#This Row],[Type]]&amp;"-"&amp;NLIndexTable[[#This Row],[Category]]</f>
        <v>EE-Refrigeration</v>
      </c>
      <c r="D73" s="388" t="s">
        <v>113</v>
      </c>
      <c r="E73" s="388" t="s">
        <v>473</v>
      </c>
      <c r="F73" s="388" t="s">
        <v>473</v>
      </c>
      <c r="G73" s="388" t="s">
        <v>569</v>
      </c>
      <c r="H73" s="388" t="str">
        <f>"Mech_"&amp;NLIndexTable[[#This Row],[Type]]&amp;"-"&amp;NLIndexTable[[#This Row],[BCH Rerofit Technology]]</f>
        <v>Mech_EE-ENERGY STAR Solid Door Refrigerator, 850 to 1416 L (30 to 50 ft3)</v>
      </c>
      <c r="I73" s="388" t="s">
        <v>72</v>
      </c>
      <c r="J73" s="388" t="s">
        <v>189</v>
      </c>
      <c r="K73" s="388">
        <v>12</v>
      </c>
      <c r="L73" s="389">
        <v>400</v>
      </c>
      <c r="M73" s="389" t="s">
        <v>190</v>
      </c>
      <c r="N73" s="389" t="s">
        <v>410</v>
      </c>
      <c r="O73" s="389" t="s">
        <v>158</v>
      </c>
      <c r="P73" s="388">
        <v>2205</v>
      </c>
      <c r="Q73" s="388">
        <v>1223</v>
      </c>
      <c r="R73" s="388">
        <v>982</v>
      </c>
      <c r="S73" s="388"/>
      <c r="T73" s="391">
        <v>0</v>
      </c>
      <c r="U73" s="388" t="s">
        <v>438</v>
      </c>
      <c r="V73" s="390" t="s">
        <v>72</v>
      </c>
      <c r="W73" s="388"/>
      <c r="X73" s="388"/>
      <c r="Y73" s="388"/>
      <c r="Z73" s="388"/>
      <c r="AA73" s="388"/>
      <c r="AB73" s="388"/>
      <c r="AC73" s="388"/>
      <c r="AD73" s="388"/>
      <c r="AE73" s="419"/>
      <c r="AF73" s="388"/>
    </row>
    <row r="74" spans="1:32" hidden="1" x14ac:dyDescent="0.35">
      <c r="A74" s="387" t="s">
        <v>72</v>
      </c>
      <c r="B74" s="388" t="s">
        <v>65</v>
      </c>
      <c r="C74" s="388" t="str">
        <f>NLIndexTable[[#This Row],[Type]]&amp;"-"&amp;NLIndexTable[[#This Row],[Category]]</f>
        <v>EE-Refrigeration</v>
      </c>
      <c r="D74" s="388" t="s">
        <v>116</v>
      </c>
      <c r="E74" s="388" t="s">
        <v>473</v>
      </c>
      <c r="F74" s="388" t="s">
        <v>473</v>
      </c>
      <c r="G74" s="388" t="s">
        <v>569</v>
      </c>
      <c r="H74" s="388" t="str">
        <f>"Mech_"&amp;NLIndexTable[[#This Row],[Type]]&amp;"-"&amp;NLIndexTable[[#This Row],[BCH Rerofit Technology]]</f>
        <v>Mech_EE-ENERGY STAR Solid Door Refrigerator, Greater than 1416 L (Greater than 50 ft3)</v>
      </c>
      <c r="I74" s="388" t="s">
        <v>72</v>
      </c>
      <c r="J74" s="388" t="s">
        <v>189</v>
      </c>
      <c r="K74" s="388">
        <v>12</v>
      </c>
      <c r="L74" s="389">
        <v>500</v>
      </c>
      <c r="M74" s="389" t="s">
        <v>190</v>
      </c>
      <c r="N74" s="389" t="s">
        <v>410</v>
      </c>
      <c r="O74" s="389" t="s">
        <v>158</v>
      </c>
      <c r="P74" s="388">
        <v>2569</v>
      </c>
      <c r="Q74" s="388">
        <v>1259</v>
      </c>
      <c r="R74" s="388">
        <v>1310</v>
      </c>
      <c r="S74" s="388"/>
      <c r="T74" s="391">
        <v>0</v>
      </c>
      <c r="U74" s="388" t="s">
        <v>438</v>
      </c>
      <c r="V74" s="390" t="s">
        <v>72</v>
      </c>
      <c r="W74" s="388"/>
      <c r="X74" s="388"/>
      <c r="Y74" s="388"/>
      <c r="Z74" s="388"/>
      <c r="AA74" s="388"/>
      <c r="AB74" s="388"/>
      <c r="AC74" s="388"/>
      <c r="AD74" s="388"/>
      <c r="AE74" s="419"/>
      <c r="AF74" s="388"/>
    </row>
    <row r="75" spans="1:32" hidden="1" x14ac:dyDescent="0.35">
      <c r="A75" s="387" t="s">
        <v>72</v>
      </c>
      <c r="B75" s="388" t="s">
        <v>65</v>
      </c>
      <c r="C75" s="388" t="str">
        <f>NLIndexTable[[#This Row],[Type]]&amp;"-"&amp;NLIndexTable[[#This Row],[Category]]</f>
        <v>EE-Refrigeration</v>
      </c>
      <c r="D75" s="388" t="s">
        <v>119</v>
      </c>
      <c r="E75" s="388" t="s">
        <v>473</v>
      </c>
      <c r="F75" s="388" t="s">
        <v>473</v>
      </c>
      <c r="G75" s="388" t="s">
        <v>569</v>
      </c>
      <c r="H75" s="388" t="str">
        <f>"Mech_"&amp;NLIndexTable[[#This Row],[Type]]&amp;"-"&amp;NLIndexTable[[#This Row],[BCH Rerofit Technology]]</f>
        <v xml:space="preserve">Mech_EE-ENERGY STAR Solid Door Refrigerator, Less than 425 L (Less than 15 ft3) </v>
      </c>
      <c r="I75" s="388" t="s">
        <v>72</v>
      </c>
      <c r="J75" s="388" t="s">
        <v>189</v>
      </c>
      <c r="K75" s="388">
        <v>12</v>
      </c>
      <c r="L75" s="389">
        <v>250</v>
      </c>
      <c r="M75" s="389" t="s">
        <v>190</v>
      </c>
      <c r="N75" s="389" t="s">
        <v>410</v>
      </c>
      <c r="O75" s="389" t="s">
        <v>158</v>
      </c>
      <c r="P75" s="388">
        <v>1255</v>
      </c>
      <c r="Q75" s="388">
        <v>686</v>
      </c>
      <c r="R75" s="388">
        <v>569</v>
      </c>
      <c r="S75" s="388"/>
      <c r="T75" s="391">
        <v>0</v>
      </c>
      <c r="U75" s="388" t="s">
        <v>438</v>
      </c>
      <c r="V75" s="390" t="s">
        <v>72</v>
      </c>
      <c r="W75" s="388"/>
      <c r="X75" s="388"/>
      <c r="Y75" s="388"/>
      <c r="Z75" s="388"/>
      <c r="AA75" s="388"/>
      <c r="AB75" s="388"/>
      <c r="AC75" s="388"/>
      <c r="AD75" s="388"/>
      <c r="AE75" s="419"/>
      <c r="AF75" s="388"/>
    </row>
    <row r="76" spans="1:32" hidden="1" x14ac:dyDescent="0.35">
      <c r="A76" s="387" t="s">
        <v>72</v>
      </c>
      <c r="B76" s="388" t="s">
        <v>65</v>
      </c>
      <c r="C76" s="388" t="str">
        <f>NLIndexTable[[#This Row],[Type]]&amp;"-"&amp;NLIndexTable[[#This Row],[Category]]</f>
        <v>EE-Refrigeration</v>
      </c>
      <c r="D76" s="388" t="s">
        <v>122</v>
      </c>
      <c r="E76" s="388" t="s">
        <v>473</v>
      </c>
      <c r="F76" s="388" t="s">
        <v>473</v>
      </c>
      <c r="G76" s="388" t="s">
        <v>569</v>
      </c>
      <c r="H76" s="388" t="str">
        <f>"Mech_"&amp;NLIndexTable[[#This Row],[Type]]&amp;"-"&amp;NLIndexTable[[#This Row],[BCH Rerofit Technology]]</f>
        <v>Mech_EE-Display Case with Doors to Replace Open Multi-deck Refrigerated Display Case (Medium Temperature)</v>
      </c>
      <c r="I76" s="388" t="s">
        <v>72</v>
      </c>
      <c r="J76" s="388" t="s">
        <v>191</v>
      </c>
      <c r="K76" s="388">
        <v>12</v>
      </c>
      <c r="L76" s="389">
        <v>220</v>
      </c>
      <c r="M76" s="389" t="s">
        <v>330</v>
      </c>
      <c r="N76" s="389" t="s">
        <v>414</v>
      </c>
      <c r="O76" s="389" t="s">
        <v>158</v>
      </c>
      <c r="P76" s="388"/>
      <c r="Q76" s="388"/>
      <c r="R76" s="388">
        <v>483</v>
      </c>
      <c r="S76" s="388"/>
      <c r="T76" s="391">
        <v>0</v>
      </c>
      <c r="U76" s="388" t="s">
        <v>438</v>
      </c>
      <c r="V76" s="390" t="s">
        <v>73</v>
      </c>
      <c r="W76" s="388"/>
      <c r="X76" s="388"/>
      <c r="Y76" s="388"/>
      <c r="Z76" s="388"/>
      <c r="AA76" s="388"/>
      <c r="AB76" s="388"/>
      <c r="AC76" s="388"/>
      <c r="AD76" s="388"/>
      <c r="AE76" s="419"/>
      <c r="AF76" s="388"/>
    </row>
    <row r="77" spans="1:32" hidden="1" x14ac:dyDescent="0.35">
      <c r="A77" s="387" t="s">
        <v>72</v>
      </c>
      <c r="B77" s="388" t="s">
        <v>65</v>
      </c>
      <c r="C77" s="388" t="str">
        <f>NLIndexTable[[#This Row],[Type]]&amp;"-"&amp;NLIndexTable[[#This Row],[Category]]</f>
        <v>EE-Refrigeration</v>
      </c>
      <c r="D77" s="388" t="s">
        <v>124</v>
      </c>
      <c r="E77" s="388" t="s">
        <v>473</v>
      </c>
      <c r="F77" s="388" t="s">
        <v>473</v>
      </c>
      <c r="G77" s="388" t="s">
        <v>569</v>
      </c>
      <c r="H77" s="388" t="str">
        <f>"Mech_"&amp;NLIndexTable[[#This Row],[Type]]&amp;"-"&amp;NLIndexTable[[#This Row],[BCH Rerofit Technology]]</f>
        <v>Mech_EE-Electronically Commutated Motor System (Low Temperature)</v>
      </c>
      <c r="I77" s="388" t="s">
        <v>72</v>
      </c>
      <c r="J77" s="388" t="s">
        <v>328</v>
      </c>
      <c r="K77" s="388">
        <v>15</v>
      </c>
      <c r="L77" s="389">
        <v>75</v>
      </c>
      <c r="M77" s="389" t="s">
        <v>192</v>
      </c>
      <c r="N77" s="389" t="s">
        <v>410</v>
      </c>
      <c r="O77" s="389" t="s">
        <v>158</v>
      </c>
      <c r="P77" s="388"/>
      <c r="Q77" s="388"/>
      <c r="R77" s="388">
        <v>673</v>
      </c>
      <c r="S77" s="388"/>
      <c r="T77" s="391" t="s">
        <v>193</v>
      </c>
      <c r="U77" s="388" t="s">
        <v>438</v>
      </c>
      <c r="V77" s="390" t="s">
        <v>70</v>
      </c>
      <c r="W77" s="388"/>
      <c r="X77" s="388"/>
      <c r="Y77" s="388"/>
      <c r="Z77" s="388"/>
      <c r="AA77" s="388"/>
      <c r="AB77" s="388"/>
      <c r="AC77" s="388"/>
      <c r="AD77" s="388"/>
      <c r="AE77" s="419"/>
      <c r="AF77" s="388"/>
    </row>
    <row r="78" spans="1:32" hidden="1" x14ac:dyDescent="0.35">
      <c r="A78" s="399" t="s">
        <v>72</v>
      </c>
      <c r="B78" s="400" t="s">
        <v>65</v>
      </c>
      <c r="C78" s="400" t="str">
        <f>NLIndexTable[[#This Row],[Type]]&amp;"-"&amp;NLIndexTable[[#This Row],[Category]]</f>
        <v>EE-Refrigeration</v>
      </c>
      <c r="D78" s="400" t="s">
        <v>127</v>
      </c>
      <c r="E78" s="400" t="s">
        <v>473</v>
      </c>
      <c r="F78" s="400" t="s">
        <v>473</v>
      </c>
      <c r="G78" s="400" t="s">
        <v>569</v>
      </c>
      <c r="H78" s="400" t="str">
        <f>"Mech_"&amp;NLIndexTable[[#This Row],[Type]]&amp;"-"&amp;NLIndexTable[[#This Row],[BCH Rerofit Technology]]</f>
        <v>Mech_EE-Electronically Commutated Motor System (Medium Temperature)</v>
      </c>
      <c r="I78" s="400" t="s">
        <v>72</v>
      </c>
      <c r="J78" s="400" t="s">
        <v>328</v>
      </c>
      <c r="K78" s="400">
        <v>15</v>
      </c>
      <c r="L78" s="401">
        <v>77.5</v>
      </c>
      <c r="M78" s="401" t="s">
        <v>192</v>
      </c>
      <c r="N78" s="401" t="s">
        <v>410</v>
      </c>
      <c r="O78" s="401" t="s">
        <v>158</v>
      </c>
      <c r="P78" s="400"/>
      <c r="Q78" s="400"/>
      <c r="R78" s="400">
        <v>673</v>
      </c>
      <c r="S78" s="400"/>
      <c r="T78" s="402" t="s">
        <v>193</v>
      </c>
      <c r="U78" s="400" t="s">
        <v>438</v>
      </c>
      <c r="V78" s="403" t="s">
        <v>70</v>
      </c>
      <c r="W78" s="400"/>
      <c r="X78" s="400"/>
      <c r="Y78" s="400"/>
      <c r="Z78" s="400"/>
      <c r="AA78" s="400"/>
      <c r="AB78" s="400"/>
      <c r="AC78" s="400"/>
      <c r="AD78" s="400"/>
      <c r="AE78" s="412"/>
      <c r="AF78" s="411"/>
    </row>
  </sheetData>
  <mergeCells count="3">
    <mergeCell ref="H1:V1"/>
    <mergeCell ref="A1:G1"/>
    <mergeCell ref="W1:AF1"/>
  </mergeCells>
  <phoneticPr fontId="65" type="noConversion"/>
  <pageMargins left="0.7" right="0.7" top="0.75" bottom="0.75" header="0.3" footer="0.3"/>
  <pageSetup scale="22"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4E1D-CCB9-4EB8-8AA2-9786EC3E9D44}">
  <sheetPr codeName="Sheet8">
    <tabColor theme="1"/>
    <pageSetUpPr fitToPage="1"/>
  </sheetPr>
  <dimension ref="A1:J76"/>
  <sheetViews>
    <sheetView topLeftCell="C1" zoomScale="110" zoomScaleNormal="110" workbookViewId="0">
      <selection activeCell="J4" sqref="J4"/>
    </sheetView>
  </sheetViews>
  <sheetFormatPr defaultRowHeight="14.5" x14ac:dyDescent="0.35"/>
  <cols>
    <col min="2" max="2" width="51.54296875" bestFit="1" customWidth="1"/>
    <col min="3" max="3" width="27.1796875" customWidth="1"/>
    <col min="4" max="4" width="9.54296875" bestFit="1" customWidth="1"/>
    <col min="5" max="5" width="16.1796875" bestFit="1" customWidth="1"/>
    <col min="9" max="9" width="14.81640625" bestFit="1" customWidth="1"/>
  </cols>
  <sheetData>
    <row r="1" spans="1:10" ht="43.5" x14ac:dyDescent="0.35">
      <c r="A1" s="421" t="s">
        <v>609</v>
      </c>
      <c r="B1" s="8" t="s">
        <v>17</v>
      </c>
      <c r="C1" s="8" t="s">
        <v>0</v>
      </c>
      <c r="D1" s="8" t="s">
        <v>18</v>
      </c>
      <c r="E1" s="8" t="s">
        <v>19</v>
      </c>
      <c r="F1" s="9" t="s">
        <v>42</v>
      </c>
      <c r="G1" s="9" t="s">
        <v>20</v>
      </c>
      <c r="H1" s="9" t="s">
        <v>21</v>
      </c>
      <c r="I1" s="9" t="s">
        <v>488</v>
      </c>
      <c r="J1" s="8" t="s">
        <v>22</v>
      </c>
    </row>
    <row r="2" spans="1:10" x14ac:dyDescent="0.35">
      <c r="A2" s="422">
        <v>1</v>
      </c>
      <c r="B2" t="s">
        <v>37</v>
      </c>
      <c r="C2" t="s">
        <v>4</v>
      </c>
      <c r="D2">
        <v>10</v>
      </c>
      <c r="E2" t="s">
        <v>38</v>
      </c>
      <c r="F2" s="10">
        <v>50</v>
      </c>
      <c r="G2" s="10">
        <v>8.1</v>
      </c>
      <c r="H2" s="10">
        <f>Table1[[#This Row],[Artificial Baseline W]]-Table1[[#This Row],[Retrofit W]]</f>
        <v>41.9</v>
      </c>
      <c r="I2" s="10" t="b">
        <v>0</v>
      </c>
      <c r="J2">
        <f>COUNTIF(Table1323[Rebate Category],Table1[[#This Row],[BC Hydro Rebate Category]])</f>
        <v>0</v>
      </c>
    </row>
    <row r="3" spans="1:10" x14ac:dyDescent="0.35">
      <c r="A3">
        <v>2</v>
      </c>
      <c r="B3" t="s">
        <v>610</v>
      </c>
      <c r="C3" t="s">
        <v>4</v>
      </c>
      <c r="D3">
        <v>10</v>
      </c>
      <c r="E3" t="s">
        <v>38</v>
      </c>
      <c r="F3" s="10">
        <v>50</v>
      </c>
      <c r="G3" s="10">
        <v>8.1</v>
      </c>
      <c r="H3" s="10">
        <f>Table1[[#This Row],[Artificial Baseline W]]-Table1[[#This Row],[Retrofit W]]</f>
        <v>41.9</v>
      </c>
      <c r="I3" s="10" t="b">
        <v>0</v>
      </c>
      <c r="J3">
        <f>COUNTIF(Table1323[Rebate Category],Table1[[#This Row],[BC Hydro Rebate Category]])</f>
        <v>0</v>
      </c>
    </row>
    <row r="4" spans="1:10" x14ac:dyDescent="0.35">
      <c r="A4" s="422">
        <v>3</v>
      </c>
      <c r="B4" t="s">
        <v>611</v>
      </c>
      <c r="C4" t="s">
        <v>4</v>
      </c>
      <c r="D4">
        <v>10</v>
      </c>
      <c r="E4" t="s">
        <v>38</v>
      </c>
      <c r="F4" s="10">
        <v>90</v>
      </c>
      <c r="G4" s="10">
        <v>13.5</v>
      </c>
      <c r="H4" s="10">
        <f>Table1[[#This Row],[Artificial Baseline W]]-Table1[[#This Row],[Retrofit W]]</f>
        <v>76.5</v>
      </c>
      <c r="I4" s="10" t="b">
        <v>0</v>
      </c>
      <c r="J4">
        <f>COUNTIF(Table1323[Rebate Category],Table1[[#This Row],[BC Hydro Rebate Category]])</f>
        <v>0</v>
      </c>
    </row>
    <row r="5" spans="1:10" x14ac:dyDescent="0.35">
      <c r="A5">
        <v>4</v>
      </c>
      <c r="B5" t="s">
        <v>612</v>
      </c>
      <c r="C5" t="s">
        <v>1</v>
      </c>
      <c r="D5">
        <v>35</v>
      </c>
      <c r="E5" t="s">
        <v>23</v>
      </c>
      <c r="F5" s="10">
        <v>40</v>
      </c>
      <c r="G5" s="10">
        <v>14.4</v>
      </c>
      <c r="H5" s="10">
        <f>Table1[[#This Row],[Artificial Baseline W]]-Table1[[#This Row],[Retrofit W]]</f>
        <v>25.6</v>
      </c>
      <c r="I5" s="10" t="b">
        <v>0</v>
      </c>
      <c r="J5">
        <f>COUNTIF(Table1323[Rebate Category],Table1[[#This Row],[BC Hydro Rebate Category]])</f>
        <v>0</v>
      </c>
    </row>
    <row r="6" spans="1:10" x14ac:dyDescent="0.35">
      <c r="A6" s="422">
        <v>5</v>
      </c>
      <c r="B6" t="s">
        <v>644</v>
      </c>
      <c r="C6" t="s">
        <v>1</v>
      </c>
      <c r="D6">
        <v>35</v>
      </c>
      <c r="E6" t="s">
        <v>23</v>
      </c>
      <c r="F6" s="10">
        <v>54</v>
      </c>
      <c r="G6" s="10">
        <v>28.8</v>
      </c>
      <c r="H6" s="10">
        <f>Table1[[#This Row],[Artificial Baseline W]]-Table1[[#This Row],[Retrofit W]]</f>
        <v>25.2</v>
      </c>
      <c r="I6" s="10" t="b">
        <v>0</v>
      </c>
      <c r="J6">
        <f>COUNTIF(Table1323[Rebate Category],Table1[[#This Row],[BC Hydro Rebate Category]])</f>
        <v>0</v>
      </c>
    </row>
    <row r="7" spans="1:10" x14ac:dyDescent="0.35">
      <c r="A7">
        <v>6</v>
      </c>
      <c r="B7" t="s">
        <v>613</v>
      </c>
      <c r="C7" t="s">
        <v>7</v>
      </c>
      <c r="D7">
        <v>10</v>
      </c>
      <c r="E7" t="s">
        <v>38</v>
      </c>
      <c r="F7" s="10">
        <v>60</v>
      </c>
      <c r="G7" s="10">
        <v>24</v>
      </c>
      <c r="H7" s="10">
        <f>Table1[[#This Row],[Artificial Baseline W]]-Table1[[#This Row],[Retrofit W]]</f>
        <v>36</v>
      </c>
      <c r="I7" s="10" t="b">
        <v>0</v>
      </c>
      <c r="J7">
        <f>COUNTIF(Table1323[Rebate Category],Table1[[#This Row],[BC Hydro Rebate Category]])</f>
        <v>0</v>
      </c>
    </row>
    <row r="8" spans="1:10" x14ac:dyDescent="0.35">
      <c r="A8" s="422">
        <v>7</v>
      </c>
      <c r="B8" t="s">
        <v>614</v>
      </c>
      <c r="C8" t="s">
        <v>7</v>
      </c>
      <c r="D8">
        <v>10</v>
      </c>
      <c r="E8" t="s">
        <v>38</v>
      </c>
      <c r="F8" s="10">
        <v>25</v>
      </c>
      <c r="G8" s="10">
        <v>9</v>
      </c>
      <c r="H8" s="10">
        <f>Table1[[#This Row],[Artificial Baseline W]]-Table1[[#This Row],[Retrofit W]]</f>
        <v>16</v>
      </c>
      <c r="I8" s="10" t="b">
        <v>0</v>
      </c>
      <c r="J8">
        <f>COUNTIF(Table1323[Rebate Category],Table1[[#This Row],[BC Hydro Rebate Category]])</f>
        <v>0</v>
      </c>
    </row>
    <row r="9" spans="1:10" x14ac:dyDescent="0.35">
      <c r="A9">
        <v>8</v>
      </c>
      <c r="B9" t="s">
        <v>615</v>
      </c>
      <c r="C9" t="s">
        <v>7</v>
      </c>
      <c r="D9">
        <v>10</v>
      </c>
      <c r="E9" t="s">
        <v>38</v>
      </c>
      <c r="F9" s="10">
        <v>25</v>
      </c>
      <c r="G9" s="10">
        <v>14.4</v>
      </c>
      <c r="H9" s="10">
        <f>Table1[[#This Row],[Artificial Baseline W]]-Table1[[#This Row],[Retrofit W]]</f>
        <v>10.6</v>
      </c>
      <c r="I9" s="10" t="b">
        <v>0</v>
      </c>
      <c r="J9">
        <f>COUNTIF(Table1323[Rebate Category],Table1[[#This Row],[BC Hydro Rebate Category]])</f>
        <v>0</v>
      </c>
    </row>
    <row r="10" spans="1:10" x14ac:dyDescent="0.35">
      <c r="A10" s="422">
        <v>9</v>
      </c>
      <c r="B10" t="s">
        <v>837</v>
      </c>
      <c r="C10" t="s">
        <v>7</v>
      </c>
      <c r="D10">
        <v>10</v>
      </c>
      <c r="E10" t="s">
        <v>38</v>
      </c>
      <c r="F10" s="10">
        <v>68</v>
      </c>
      <c r="G10" s="10">
        <v>24</v>
      </c>
      <c r="H10" s="10">
        <f>Table1[[#This Row],[Artificial Baseline W]]-Table1[[#This Row],[Retrofit W]]</f>
        <v>44</v>
      </c>
      <c r="I10" s="10" t="b">
        <v>0</v>
      </c>
      <c r="J10">
        <f>COUNTIF(Table1323[Rebate Category],Table1[[#This Row],[BC Hydro Rebate Category]])</f>
        <v>0</v>
      </c>
    </row>
    <row r="11" spans="1:10" x14ac:dyDescent="0.35">
      <c r="A11">
        <v>10</v>
      </c>
      <c r="B11" t="s">
        <v>838</v>
      </c>
      <c r="C11" t="s">
        <v>7</v>
      </c>
      <c r="D11">
        <v>10</v>
      </c>
      <c r="E11" t="s">
        <v>38</v>
      </c>
      <c r="F11" s="10">
        <v>92</v>
      </c>
      <c r="G11" s="10">
        <v>40</v>
      </c>
      <c r="H11" s="10">
        <f>Table1[[#This Row],[Artificial Baseline W]]-Table1[[#This Row],[Retrofit W]]</f>
        <v>52</v>
      </c>
      <c r="I11" s="10" t="b">
        <v>0</v>
      </c>
      <c r="J11">
        <f>COUNTIF(Table1323[Rebate Category],Table1[[#This Row],[BC Hydro Rebate Category]])</f>
        <v>0</v>
      </c>
    </row>
    <row r="12" spans="1:10" x14ac:dyDescent="0.35">
      <c r="A12" s="422">
        <v>11</v>
      </c>
      <c r="B12" t="s">
        <v>645</v>
      </c>
      <c r="C12" t="s">
        <v>1</v>
      </c>
      <c r="D12">
        <v>50</v>
      </c>
      <c r="E12" t="s">
        <v>23</v>
      </c>
      <c r="F12" s="10">
        <v>92</v>
      </c>
      <c r="G12" s="593">
        <v>24.3</v>
      </c>
      <c r="H12" s="10">
        <f>Table1[[#This Row],[Artificial Baseline W]]-Table1[[#This Row],[Retrofit W]]</f>
        <v>67.7</v>
      </c>
      <c r="I12" s="10" t="b">
        <v>1</v>
      </c>
      <c r="J12">
        <f>COUNTIF(Table1323[Rebate Category],Table1[[#This Row],[BC Hydro Rebate Category]])</f>
        <v>0</v>
      </c>
    </row>
    <row r="13" spans="1:10" x14ac:dyDescent="0.35">
      <c r="A13">
        <v>12</v>
      </c>
      <c r="B13" t="s">
        <v>646</v>
      </c>
      <c r="C13" t="s">
        <v>1</v>
      </c>
      <c r="D13">
        <v>75</v>
      </c>
      <c r="E13" t="s">
        <v>23</v>
      </c>
      <c r="F13" s="10">
        <v>130</v>
      </c>
      <c r="G13" s="593">
        <v>48.6</v>
      </c>
      <c r="H13" s="10">
        <f>Table1[[#This Row],[Artificial Baseline W]]-Table1[[#This Row],[Retrofit W]]</f>
        <v>81.400000000000006</v>
      </c>
      <c r="I13" s="10" t="b">
        <v>1</v>
      </c>
      <c r="J13">
        <f>COUNTIF(Table1323[Rebate Category],Table1[[#This Row],[BC Hydro Rebate Category]])</f>
        <v>0</v>
      </c>
    </row>
    <row r="14" spans="1:10" x14ac:dyDescent="0.35">
      <c r="A14" s="422">
        <v>13</v>
      </c>
      <c r="B14" t="s">
        <v>647</v>
      </c>
      <c r="C14" t="s">
        <v>1</v>
      </c>
      <c r="D14">
        <v>100</v>
      </c>
      <c r="E14" t="s">
        <v>23</v>
      </c>
      <c r="F14" s="10">
        <v>210</v>
      </c>
      <c r="G14" s="593">
        <v>72.900000000000006</v>
      </c>
      <c r="H14" s="10">
        <f>Table1[[#This Row],[Artificial Baseline W]]-Table1[[#This Row],[Retrofit W]]</f>
        <v>137.1</v>
      </c>
      <c r="I14" s="10" t="b">
        <v>1</v>
      </c>
      <c r="J14">
        <f>COUNTIF(Table1323[Rebate Category],Table1[[#This Row],[BC Hydro Rebate Category]])</f>
        <v>0</v>
      </c>
    </row>
    <row r="15" spans="1:10" x14ac:dyDescent="0.35">
      <c r="A15">
        <v>14</v>
      </c>
      <c r="B15" t="s">
        <v>797</v>
      </c>
      <c r="C15" t="s">
        <v>1</v>
      </c>
      <c r="D15">
        <v>40</v>
      </c>
      <c r="E15" t="s">
        <v>23</v>
      </c>
      <c r="F15" s="10">
        <v>24</v>
      </c>
      <c r="G15" s="593">
        <v>16</v>
      </c>
      <c r="H15" s="10">
        <f>Table1[[#This Row],[Artificial Baseline W]]-Table1[[#This Row],[Retrofit W]]</f>
        <v>8</v>
      </c>
      <c r="I15" s="10"/>
      <c r="J15">
        <f>COUNTIF(Table1323[Rebate Category],Table1[[#This Row],[BC Hydro Rebate Category]])</f>
        <v>0</v>
      </c>
    </row>
    <row r="16" spans="1:10" x14ac:dyDescent="0.35">
      <c r="A16" s="422">
        <v>15</v>
      </c>
      <c r="B16" t="s">
        <v>798</v>
      </c>
      <c r="C16" t="s">
        <v>1</v>
      </c>
      <c r="D16">
        <v>60</v>
      </c>
      <c r="E16" t="s">
        <v>23</v>
      </c>
      <c r="F16" s="10">
        <v>46</v>
      </c>
      <c r="G16" s="593">
        <v>20.7</v>
      </c>
      <c r="H16" s="10">
        <f>Table1[[#This Row],[Artificial Baseline W]]-Table1[[#This Row],[Retrofit W]]</f>
        <v>25.3</v>
      </c>
      <c r="I16" s="10" t="b">
        <v>1</v>
      </c>
      <c r="J16">
        <f>COUNTIF(Table1323[Rebate Category],Table1[[#This Row],[BC Hydro Rebate Category]])</f>
        <v>0</v>
      </c>
    </row>
    <row r="17" spans="1:10" x14ac:dyDescent="0.35">
      <c r="A17">
        <v>16</v>
      </c>
      <c r="B17" t="s">
        <v>616</v>
      </c>
      <c r="C17" t="s">
        <v>1</v>
      </c>
      <c r="D17">
        <v>70</v>
      </c>
      <c r="E17" t="s">
        <v>23</v>
      </c>
      <c r="F17" s="10">
        <v>88</v>
      </c>
      <c r="G17" s="593">
        <v>45</v>
      </c>
      <c r="H17" s="10">
        <f>Table1[[#This Row],[Artificial Baseline W]]-Table1[[#This Row],[Retrofit W]]</f>
        <v>43</v>
      </c>
      <c r="I17" s="10" t="b">
        <v>1</v>
      </c>
      <c r="J17">
        <f>COUNTIF(Table1323[Rebate Category],Table1[[#This Row],[BC Hydro Rebate Category]])</f>
        <v>0</v>
      </c>
    </row>
    <row r="18" spans="1:10" x14ac:dyDescent="0.35">
      <c r="A18" s="422">
        <v>17</v>
      </c>
      <c r="B18" t="s">
        <v>799</v>
      </c>
      <c r="C18" t="s">
        <v>1</v>
      </c>
      <c r="D18">
        <v>40</v>
      </c>
      <c r="E18" t="s">
        <v>23</v>
      </c>
      <c r="F18" s="10">
        <v>24</v>
      </c>
      <c r="G18" s="593">
        <v>16</v>
      </c>
      <c r="H18" s="591">
        <f>Table1[[#This Row],[Artificial Baseline W]]-Table1[[#This Row],[Retrofit W]]</f>
        <v>8</v>
      </c>
      <c r="I18" s="10"/>
      <c r="J18" s="592">
        <f>COUNTIF(Table1323[Rebate Category],Table1[[#This Row],[BC Hydro Rebate Category]])</f>
        <v>0</v>
      </c>
    </row>
    <row r="19" spans="1:10" x14ac:dyDescent="0.35">
      <c r="A19">
        <v>18</v>
      </c>
      <c r="B19" t="s">
        <v>800</v>
      </c>
      <c r="C19" t="s">
        <v>1</v>
      </c>
      <c r="D19">
        <v>60</v>
      </c>
      <c r="E19" t="s">
        <v>23</v>
      </c>
      <c r="F19" s="10">
        <v>46</v>
      </c>
      <c r="G19" s="593">
        <v>23.400000000000002</v>
      </c>
      <c r="H19" s="10">
        <f>Table1[[#This Row],[Artificial Baseline W]]-Table1[[#This Row],[Retrofit W]]</f>
        <v>22.599999999999998</v>
      </c>
      <c r="I19" s="10" t="b">
        <v>1</v>
      </c>
      <c r="J19">
        <f>COUNTIF(Table1323[Rebate Category],Table1[[#This Row],[BC Hydro Rebate Category]])</f>
        <v>0</v>
      </c>
    </row>
    <row r="20" spans="1:10" x14ac:dyDescent="0.35">
      <c r="A20" s="422">
        <v>19</v>
      </c>
      <c r="B20" t="s">
        <v>617</v>
      </c>
      <c r="C20" t="s">
        <v>1</v>
      </c>
      <c r="D20">
        <v>70</v>
      </c>
      <c r="E20" t="s">
        <v>23</v>
      </c>
      <c r="F20" s="10">
        <v>88</v>
      </c>
      <c r="G20" s="10">
        <v>49.5</v>
      </c>
      <c r="H20" s="10">
        <f>Table1[[#This Row],[Artificial Baseline W]]-Table1[[#This Row],[Retrofit W]]</f>
        <v>38.5</v>
      </c>
      <c r="I20" s="10" t="b">
        <v>1</v>
      </c>
      <c r="J20">
        <f>COUNTIF(Table1323[Rebate Category],Table1[[#This Row],[BC Hydro Rebate Category]])</f>
        <v>0</v>
      </c>
    </row>
    <row r="21" spans="1:10" x14ac:dyDescent="0.35">
      <c r="A21">
        <v>20</v>
      </c>
      <c r="B21" t="s">
        <v>618</v>
      </c>
      <c r="C21" t="s">
        <v>1</v>
      </c>
      <c r="D21">
        <v>80</v>
      </c>
      <c r="E21" t="s">
        <v>23</v>
      </c>
      <c r="F21" s="10">
        <v>130</v>
      </c>
      <c r="G21" s="10">
        <v>48.6</v>
      </c>
      <c r="H21" s="10">
        <f>Table1[[#This Row],[Artificial Baseline W]]-Table1[[#This Row],[Retrofit W]]</f>
        <v>81.400000000000006</v>
      </c>
      <c r="I21" s="10" t="b">
        <v>1</v>
      </c>
      <c r="J21">
        <f>COUNTIF(Table1323[Rebate Category],Table1[[#This Row],[BC Hydro Rebate Category]])</f>
        <v>0</v>
      </c>
    </row>
    <row r="22" spans="1:10" x14ac:dyDescent="0.35">
      <c r="A22" s="422">
        <v>21</v>
      </c>
      <c r="B22" t="s">
        <v>619</v>
      </c>
      <c r="C22" t="s">
        <v>1</v>
      </c>
      <c r="D22">
        <v>90</v>
      </c>
      <c r="E22" t="s">
        <v>23</v>
      </c>
      <c r="F22" s="10">
        <v>185</v>
      </c>
      <c r="G22" s="10">
        <v>64.8</v>
      </c>
      <c r="H22" s="10">
        <f>Table1[[#This Row],[Artificial Baseline W]]-Table1[[#This Row],[Retrofit W]]</f>
        <v>120.2</v>
      </c>
      <c r="I22" s="10" t="b">
        <v>1</v>
      </c>
      <c r="J22">
        <f>COUNTIF(Table1323[Rebate Category],Table1[[#This Row],[BC Hydro Rebate Category]])</f>
        <v>0</v>
      </c>
    </row>
    <row r="23" spans="1:10" x14ac:dyDescent="0.35">
      <c r="A23">
        <v>22</v>
      </c>
      <c r="B23" t="s">
        <v>620</v>
      </c>
      <c r="C23" t="s">
        <v>1</v>
      </c>
      <c r="D23">
        <v>100</v>
      </c>
      <c r="E23" t="s">
        <v>23</v>
      </c>
      <c r="F23" s="10">
        <v>210</v>
      </c>
      <c r="G23" s="10">
        <v>72.900000000000006</v>
      </c>
      <c r="H23" s="10">
        <f>Table1[[#This Row],[Artificial Baseline W]]-Table1[[#This Row],[Retrofit W]]</f>
        <v>137.1</v>
      </c>
      <c r="I23" s="10" t="b">
        <v>1</v>
      </c>
      <c r="J23">
        <f>COUNTIF(Table1323[Rebate Category],Table1[[#This Row],[BC Hydro Rebate Category]])</f>
        <v>0</v>
      </c>
    </row>
    <row r="24" spans="1:10" x14ac:dyDescent="0.35">
      <c r="A24" s="422">
        <v>23</v>
      </c>
      <c r="B24" t="s">
        <v>621</v>
      </c>
      <c r="C24" t="s">
        <v>1</v>
      </c>
      <c r="D24">
        <v>120</v>
      </c>
      <c r="E24" t="s">
        <v>23</v>
      </c>
      <c r="F24" s="10">
        <v>240</v>
      </c>
      <c r="G24" s="10">
        <v>101.7</v>
      </c>
      <c r="H24" s="10">
        <f>Table1[[#This Row],[Artificial Baseline W]]-Table1[[#This Row],[Retrofit W]]</f>
        <v>138.30000000000001</v>
      </c>
      <c r="I24" s="10" t="b">
        <v>1</v>
      </c>
      <c r="J24">
        <f>COUNTIF(Table1323[Rebate Category],Table1[[#This Row],[BC Hydro Rebate Category]])</f>
        <v>0</v>
      </c>
    </row>
    <row r="25" spans="1:10" x14ac:dyDescent="0.35">
      <c r="A25">
        <v>24</v>
      </c>
      <c r="B25" t="s">
        <v>622</v>
      </c>
      <c r="C25" t="s">
        <v>1</v>
      </c>
      <c r="D25">
        <v>150</v>
      </c>
      <c r="E25" t="s">
        <v>23</v>
      </c>
      <c r="F25" s="10">
        <v>291</v>
      </c>
      <c r="G25" s="10">
        <v>129.6</v>
      </c>
      <c r="H25" s="10">
        <f>Table1[[#This Row],[Artificial Baseline W]]-Table1[[#This Row],[Retrofit W]]</f>
        <v>161.4</v>
      </c>
      <c r="I25" s="10" t="b">
        <v>1</v>
      </c>
      <c r="J25">
        <f>COUNTIF(Table1323[Rebate Category],Table1[[#This Row],[BC Hydro Rebate Category]])</f>
        <v>0</v>
      </c>
    </row>
    <row r="26" spans="1:10" x14ac:dyDescent="0.35">
      <c r="A26" s="422">
        <v>25</v>
      </c>
      <c r="B26" t="s">
        <v>623</v>
      </c>
      <c r="C26" t="s">
        <v>1</v>
      </c>
      <c r="D26">
        <v>185</v>
      </c>
      <c r="E26" t="s">
        <v>23</v>
      </c>
      <c r="F26" s="10">
        <v>455</v>
      </c>
      <c r="G26" s="10">
        <v>178.20000000000002</v>
      </c>
      <c r="H26" s="10">
        <f>Table1[[#This Row],[Artificial Baseline W]]-Table1[[#This Row],[Retrofit W]]</f>
        <v>276.79999999999995</v>
      </c>
      <c r="I26" s="10" t="b">
        <v>1</v>
      </c>
      <c r="J26">
        <f>COUNTIF(Table1323[Rebate Category],Table1[[#This Row],[BC Hydro Rebate Category]])</f>
        <v>0</v>
      </c>
    </row>
    <row r="27" spans="1:10" x14ac:dyDescent="0.35">
      <c r="A27">
        <v>26</v>
      </c>
      <c r="B27" t="s">
        <v>648</v>
      </c>
      <c r="C27" t="s">
        <v>1</v>
      </c>
      <c r="D27">
        <v>100</v>
      </c>
      <c r="E27" t="s">
        <v>23</v>
      </c>
      <c r="F27" s="10">
        <v>185</v>
      </c>
      <c r="G27" s="10">
        <v>64.8</v>
      </c>
      <c r="H27" s="10">
        <f>Table1[[#This Row],[Artificial Baseline W]]-Table1[[#This Row],[Retrofit W]]</f>
        <v>120.2</v>
      </c>
      <c r="I27" s="10" t="b">
        <v>1</v>
      </c>
      <c r="J27">
        <f>COUNTIF(Table1323[Rebate Category],Table1[[#This Row],[BC Hydro Rebate Category]])</f>
        <v>0</v>
      </c>
    </row>
    <row r="28" spans="1:10" x14ac:dyDescent="0.35">
      <c r="A28" s="422">
        <v>27</v>
      </c>
      <c r="B28" t="s">
        <v>624</v>
      </c>
      <c r="C28" t="s">
        <v>1</v>
      </c>
      <c r="D28">
        <v>150</v>
      </c>
      <c r="E28" t="s">
        <v>23</v>
      </c>
      <c r="F28" s="10">
        <v>410</v>
      </c>
      <c r="G28" s="10">
        <v>174.6</v>
      </c>
      <c r="H28" s="10">
        <f>Table1[[#This Row],[Artificial Baseline W]]-Table1[[#This Row],[Retrofit W]]</f>
        <v>235.4</v>
      </c>
      <c r="I28" s="10" t="b">
        <v>1</v>
      </c>
      <c r="J28">
        <f>COUNTIF(Table1323[Rebate Category],Table1[[#This Row],[BC Hydro Rebate Category]])</f>
        <v>0</v>
      </c>
    </row>
    <row r="29" spans="1:10" x14ac:dyDescent="0.35">
      <c r="A29">
        <v>28</v>
      </c>
      <c r="B29" t="s">
        <v>625</v>
      </c>
      <c r="C29" t="s">
        <v>1</v>
      </c>
      <c r="D29">
        <v>175</v>
      </c>
      <c r="E29" t="s">
        <v>23</v>
      </c>
      <c r="F29" s="10">
        <v>455</v>
      </c>
      <c r="G29" s="10">
        <v>178.20000000000002</v>
      </c>
      <c r="H29" s="10">
        <f>Table1[[#This Row],[Artificial Baseline W]]-Table1[[#This Row],[Retrofit W]]</f>
        <v>276.79999999999995</v>
      </c>
      <c r="I29" s="10" t="b">
        <v>1</v>
      </c>
      <c r="J29">
        <f>COUNTIF(Table1323[Rebate Category],Table1[[#This Row],[BC Hydro Rebate Category]])</f>
        <v>0</v>
      </c>
    </row>
    <row r="30" spans="1:10" x14ac:dyDescent="0.35">
      <c r="A30" s="422">
        <v>29</v>
      </c>
      <c r="B30" t="s">
        <v>649</v>
      </c>
      <c r="C30" t="s">
        <v>1</v>
      </c>
      <c r="D30">
        <v>90</v>
      </c>
      <c r="E30" t="s">
        <v>23</v>
      </c>
      <c r="F30" s="10">
        <v>185</v>
      </c>
      <c r="G30" s="10">
        <v>64.8</v>
      </c>
      <c r="H30" s="10">
        <f>Table1[[#This Row],[Artificial Baseline W]]-Table1[[#This Row],[Retrofit W]]</f>
        <v>120.2</v>
      </c>
      <c r="I30" s="10" t="b">
        <v>1</v>
      </c>
      <c r="J30">
        <f>COUNTIF(Table1323[Rebate Category],Table1[[#This Row],[BC Hydro Rebate Category]])</f>
        <v>0</v>
      </c>
    </row>
    <row r="31" spans="1:10" x14ac:dyDescent="0.35">
      <c r="A31">
        <v>30</v>
      </c>
      <c r="B31" t="s">
        <v>650</v>
      </c>
      <c r="C31" t="s">
        <v>1</v>
      </c>
      <c r="D31">
        <v>100</v>
      </c>
      <c r="E31" t="s">
        <v>23</v>
      </c>
      <c r="F31" s="10">
        <v>210</v>
      </c>
      <c r="G31" s="10">
        <v>72.900000000000006</v>
      </c>
      <c r="H31" s="10">
        <f>Table1[[#This Row],[Artificial Baseline W]]-Table1[[#This Row],[Retrofit W]]</f>
        <v>137.1</v>
      </c>
      <c r="I31" s="10" t="b">
        <v>1</v>
      </c>
      <c r="J31">
        <f>COUNTIF(Table1323[Rebate Category],Table1[[#This Row],[BC Hydro Rebate Category]])</f>
        <v>0</v>
      </c>
    </row>
    <row r="32" spans="1:10" x14ac:dyDescent="0.35">
      <c r="A32" s="422">
        <v>31</v>
      </c>
      <c r="B32" t="s">
        <v>651</v>
      </c>
      <c r="C32" t="s">
        <v>1</v>
      </c>
      <c r="D32">
        <v>120</v>
      </c>
      <c r="E32" t="s">
        <v>23</v>
      </c>
      <c r="F32" s="10">
        <v>291</v>
      </c>
      <c r="G32" s="10">
        <v>129.6</v>
      </c>
      <c r="H32" s="10">
        <f>Table1[[#This Row],[Artificial Baseline W]]-Table1[[#This Row],[Retrofit W]]</f>
        <v>161.4</v>
      </c>
      <c r="I32" s="10" t="b">
        <v>1</v>
      </c>
      <c r="J32">
        <f>COUNTIF(Table1323[Rebate Category],Table1[[#This Row],[BC Hydro Rebate Category]])</f>
        <v>0</v>
      </c>
    </row>
    <row r="33" spans="1:10" x14ac:dyDescent="0.35">
      <c r="A33">
        <v>32</v>
      </c>
      <c r="B33" t="s">
        <v>652</v>
      </c>
      <c r="C33" t="s">
        <v>1</v>
      </c>
      <c r="D33">
        <v>150</v>
      </c>
      <c r="E33" t="s">
        <v>23</v>
      </c>
      <c r="F33" s="10">
        <v>410</v>
      </c>
      <c r="G33" s="10">
        <v>174.6</v>
      </c>
      <c r="H33" s="10">
        <f>Table1[[#This Row],[Artificial Baseline W]]-Table1[[#This Row],[Retrofit W]]</f>
        <v>235.4</v>
      </c>
      <c r="I33" s="10" t="b">
        <v>1</v>
      </c>
      <c r="J33">
        <f>COUNTIF(Table1323[Rebate Category],Table1[[#This Row],[BC Hydro Rebate Category]])</f>
        <v>0</v>
      </c>
    </row>
    <row r="34" spans="1:10" x14ac:dyDescent="0.35">
      <c r="A34" s="422">
        <v>33</v>
      </c>
      <c r="B34" t="s">
        <v>653</v>
      </c>
      <c r="C34" t="s">
        <v>1</v>
      </c>
      <c r="D34">
        <v>170</v>
      </c>
      <c r="E34" t="s">
        <v>23</v>
      </c>
      <c r="F34" s="10">
        <v>455</v>
      </c>
      <c r="G34" s="10">
        <v>178.20000000000002</v>
      </c>
      <c r="H34" s="10">
        <f>Table1[[#This Row],[Artificial Baseline W]]-Table1[[#This Row],[Retrofit W]]</f>
        <v>276.79999999999995</v>
      </c>
      <c r="I34" s="10" t="b">
        <v>1</v>
      </c>
      <c r="J34">
        <f>COUNTIF(Table1323[Rebate Category],Table1[[#This Row],[BC Hydro Rebate Category]])</f>
        <v>0</v>
      </c>
    </row>
    <row r="35" spans="1:10" x14ac:dyDescent="0.35">
      <c r="A35">
        <v>34</v>
      </c>
      <c r="B35" t="s">
        <v>626</v>
      </c>
      <c r="C35" t="s">
        <v>1</v>
      </c>
      <c r="D35">
        <v>80</v>
      </c>
      <c r="E35" t="s">
        <v>23</v>
      </c>
      <c r="F35" s="10">
        <v>130</v>
      </c>
      <c r="G35" s="10">
        <v>48.6</v>
      </c>
      <c r="H35" s="10">
        <f>Table1[[#This Row],[Artificial Baseline W]]-Table1[[#This Row],[Retrofit W]]</f>
        <v>81.400000000000006</v>
      </c>
      <c r="I35" s="10" t="b">
        <v>1</v>
      </c>
      <c r="J35">
        <f>COUNTIF(Table1323[Rebate Category],Table1[[#This Row],[BC Hydro Rebate Category]])</f>
        <v>0</v>
      </c>
    </row>
    <row r="36" spans="1:10" x14ac:dyDescent="0.35">
      <c r="A36" s="422">
        <v>35</v>
      </c>
      <c r="B36" t="s">
        <v>627</v>
      </c>
      <c r="C36" t="s">
        <v>1</v>
      </c>
      <c r="D36">
        <v>100</v>
      </c>
      <c r="E36" t="s">
        <v>23</v>
      </c>
      <c r="F36" s="10">
        <v>240</v>
      </c>
      <c r="G36" s="10">
        <v>101.7</v>
      </c>
      <c r="H36" s="10">
        <f>Table1[[#This Row],[Artificial Baseline W]]-Table1[[#This Row],[Retrofit W]]</f>
        <v>138.30000000000001</v>
      </c>
      <c r="I36" s="10" t="b">
        <v>1</v>
      </c>
      <c r="J36">
        <f>COUNTIF(Table1323[Rebate Category],Table1[[#This Row],[BC Hydro Rebate Category]])</f>
        <v>0</v>
      </c>
    </row>
    <row r="37" spans="1:10" x14ac:dyDescent="0.35">
      <c r="A37">
        <v>36</v>
      </c>
      <c r="B37" t="s">
        <v>655</v>
      </c>
      <c r="C37" t="s">
        <v>3</v>
      </c>
      <c r="D37">
        <v>10</v>
      </c>
      <c r="E37" t="s">
        <v>654</v>
      </c>
      <c r="F37" s="10">
        <v>144</v>
      </c>
      <c r="G37" s="10">
        <v>14.4</v>
      </c>
      <c r="H37" s="10">
        <f>Table1[[#This Row],[Artificial Baseline W]]-Table1[[#This Row],[Retrofit W]]</f>
        <v>129.6</v>
      </c>
      <c r="I37" s="10" t="b">
        <v>0</v>
      </c>
      <c r="J37">
        <f>COUNTIF(Table1323[Rebate Category],Table1[[#This Row],[BC Hydro Rebate Category]])</f>
        <v>0</v>
      </c>
    </row>
    <row r="38" spans="1:10" x14ac:dyDescent="0.35">
      <c r="F38" s="10"/>
      <c r="G38" s="10"/>
      <c r="H38" s="10"/>
      <c r="I38" s="10"/>
    </row>
    <row r="39" spans="1:10" x14ac:dyDescent="0.35">
      <c r="D39" s="11"/>
      <c r="E39" s="11"/>
      <c r="F39" s="11"/>
      <c r="G39" s="10"/>
      <c r="H39" s="10"/>
      <c r="I39" s="10"/>
    </row>
    <row r="40" spans="1:10" x14ac:dyDescent="0.35">
      <c r="D40" s="11"/>
      <c r="E40" s="11"/>
      <c r="F40" s="11"/>
      <c r="G40" s="10"/>
      <c r="H40" s="10"/>
      <c r="I40" s="10"/>
    </row>
    <row r="41" spans="1:10" x14ac:dyDescent="0.35">
      <c r="D41" s="11"/>
      <c r="E41" s="11"/>
      <c r="F41" s="11"/>
      <c r="G41" s="10"/>
      <c r="H41" s="10"/>
      <c r="I41" s="10"/>
    </row>
    <row r="42" spans="1:10" x14ac:dyDescent="0.35">
      <c r="D42" s="11"/>
      <c r="E42" s="11"/>
      <c r="F42" s="11"/>
      <c r="G42" s="10"/>
      <c r="H42" s="10"/>
      <c r="I42" s="10"/>
    </row>
    <row r="43" spans="1:10" x14ac:dyDescent="0.35">
      <c r="D43" s="11"/>
      <c r="E43" s="11"/>
      <c r="F43" s="11"/>
      <c r="G43" s="10"/>
      <c r="H43" s="10"/>
      <c r="I43" s="10"/>
    </row>
    <row r="44" spans="1:10" x14ac:dyDescent="0.35">
      <c r="D44" s="11"/>
      <c r="E44" s="11"/>
      <c r="F44" s="11"/>
      <c r="G44" s="10"/>
      <c r="H44" s="10"/>
      <c r="I44" s="10"/>
    </row>
    <row r="45" spans="1:10" x14ac:dyDescent="0.35">
      <c r="G45" s="10"/>
      <c r="H45" s="10"/>
      <c r="I45" s="10"/>
    </row>
    <row r="46" spans="1:10" x14ac:dyDescent="0.35">
      <c r="F46" s="10"/>
      <c r="G46" s="10"/>
      <c r="H46" s="10"/>
      <c r="I46" s="10"/>
    </row>
    <row r="47" spans="1:10" x14ac:dyDescent="0.35">
      <c r="F47" s="10"/>
      <c r="G47" s="10"/>
      <c r="H47" s="10"/>
      <c r="I47" s="10"/>
    </row>
    <row r="48" spans="1:10" x14ac:dyDescent="0.35">
      <c r="F48" s="10"/>
      <c r="G48" s="10"/>
      <c r="H48" s="10"/>
      <c r="I48" s="10"/>
    </row>
    <row r="49" spans="6:9" x14ac:dyDescent="0.35">
      <c r="F49" s="10"/>
      <c r="G49" s="10"/>
      <c r="H49" s="10"/>
      <c r="I49" s="10"/>
    </row>
    <row r="50" spans="6:9" x14ac:dyDescent="0.35">
      <c r="F50" s="10"/>
      <c r="G50" s="10"/>
      <c r="H50" s="10"/>
      <c r="I50" s="10"/>
    </row>
    <row r="51" spans="6:9" x14ac:dyDescent="0.35">
      <c r="F51" s="10"/>
      <c r="G51" s="10"/>
      <c r="H51" s="10"/>
      <c r="I51" s="10"/>
    </row>
    <row r="52" spans="6:9" x14ac:dyDescent="0.35">
      <c r="F52" s="10"/>
      <c r="G52" s="10"/>
      <c r="H52" s="10"/>
      <c r="I52" s="10"/>
    </row>
    <row r="53" spans="6:9" x14ac:dyDescent="0.35">
      <c r="F53" s="10"/>
      <c r="G53" s="10"/>
      <c r="H53" s="10"/>
      <c r="I53" s="10"/>
    </row>
    <row r="54" spans="6:9" x14ac:dyDescent="0.35">
      <c r="F54" s="10"/>
      <c r="G54" s="10"/>
      <c r="H54" s="10"/>
      <c r="I54" s="10"/>
    </row>
    <row r="55" spans="6:9" x14ac:dyDescent="0.35">
      <c r="F55" s="10"/>
      <c r="G55" s="10"/>
      <c r="H55" s="10"/>
      <c r="I55" s="10"/>
    </row>
    <row r="56" spans="6:9" x14ac:dyDescent="0.35">
      <c r="F56" s="10"/>
      <c r="G56" s="10"/>
      <c r="H56" s="10"/>
      <c r="I56" s="10"/>
    </row>
    <row r="57" spans="6:9" x14ac:dyDescent="0.35">
      <c r="F57" s="10"/>
      <c r="G57" s="10"/>
      <c r="H57" s="10"/>
      <c r="I57" s="10"/>
    </row>
    <row r="58" spans="6:9" x14ac:dyDescent="0.35">
      <c r="F58" s="10"/>
      <c r="G58" s="10"/>
      <c r="H58" s="10"/>
      <c r="I58" s="10"/>
    </row>
    <row r="59" spans="6:9" x14ac:dyDescent="0.35">
      <c r="F59" s="10"/>
      <c r="G59" s="10"/>
      <c r="H59" s="10"/>
      <c r="I59" s="10"/>
    </row>
    <row r="60" spans="6:9" x14ac:dyDescent="0.35">
      <c r="F60" s="10"/>
      <c r="G60" s="10"/>
      <c r="H60" s="10"/>
      <c r="I60" s="10"/>
    </row>
    <row r="61" spans="6:9" x14ac:dyDescent="0.35">
      <c r="F61" s="10"/>
      <c r="G61" s="10"/>
      <c r="H61" s="10"/>
      <c r="I61" s="10"/>
    </row>
    <row r="62" spans="6:9" x14ac:dyDescent="0.35">
      <c r="F62" s="10"/>
      <c r="G62" s="10"/>
      <c r="H62" s="10"/>
      <c r="I62" s="10"/>
    </row>
    <row r="63" spans="6:9" x14ac:dyDescent="0.35">
      <c r="F63" s="10"/>
      <c r="G63" s="10"/>
      <c r="H63" s="10"/>
      <c r="I63" s="10"/>
    </row>
    <row r="64" spans="6:9" x14ac:dyDescent="0.35">
      <c r="F64" s="10"/>
      <c r="G64" s="10"/>
      <c r="H64" s="10"/>
      <c r="I64" s="10"/>
    </row>
    <row r="65" spans="3:9" x14ac:dyDescent="0.35">
      <c r="F65" s="10"/>
      <c r="G65" s="10"/>
      <c r="H65" s="10"/>
      <c r="I65" s="10"/>
    </row>
    <row r="66" spans="3:9" x14ac:dyDescent="0.35">
      <c r="F66" s="10"/>
      <c r="G66" s="10"/>
      <c r="H66" s="10"/>
      <c r="I66" s="10"/>
    </row>
    <row r="67" spans="3:9" x14ac:dyDescent="0.35">
      <c r="F67" s="10"/>
      <c r="G67" s="10"/>
      <c r="H67" s="10"/>
      <c r="I67" s="10"/>
    </row>
    <row r="68" spans="3:9" x14ac:dyDescent="0.35">
      <c r="F68" s="10"/>
      <c r="G68" s="10"/>
      <c r="H68" s="10"/>
      <c r="I68" s="10"/>
    </row>
    <row r="69" spans="3:9" x14ac:dyDescent="0.35">
      <c r="F69" s="10"/>
      <c r="G69" s="10"/>
      <c r="H69" s="10"/>
      <c r="I69" s="10"/>
    </row>
    <row r="70" spans="3:9" x14ac:dyDescent="0.35">
      <c r="F70" s="10"/>
      <c r="G70" s="10"/>
      <c r="H70" s="10"/>
      <c r="I70" s="10"/>
    </row>
    <row r="71" spans="3:9" x14ac:dyDescent="0.35">
      <c r="F71" s="10"/>
      <c r="G71" s="10"/>
      <c r="H71" s="10"/>
      <c r="I71" s="10"/>
    </row>
    <row r="72" spans="3:9" x14ac:dyDescent="0.35">
      <c r="F72" s="10"/>
      <c r="G72" s="10"/>
      <c r="H72" s="10"/>
      <c r="I72" s="10"/>
    </row>
    <row r="73" spans="3:9" x14ac:dyDescent="0.35">
      <c r="F73" s="10"/>
      <c r="G73" s="10"/>
      <c r="H73" s="10"/>
      <c r="I73" s="10"/>
    </row>
    <row r="74" spans="3:9" x14ac:dyDescent="0.35">
      <c r="F74" s="10"/>
      <c r="G74" s="10"/>
      <c r="H74" s="10"/>
      <c r="I74" s="10"/>
    </row>
    <row r="75" spans="3:9" x14ac:dyDescent="0.35">
      <c r="C75" t="s">
        <v>9</v>
      </c>
      <c r="F75" s="10"/>
      <c r="G75" s="10"/>
      <c r="H75" s="10"/>
      <c r="I75" s="10"/>
    </row>
    <row r="76" spans="3:9" x14ac:dyDescent="0.35">
      <c r="F76" s="10"/>
      <c r="G76" s="10"/>
      <c r="H76" s="10"/>
      <c r="I76" s="10"/>
    </row>
  </sheetData>
  <pageMargins left="0.7" right="0.7" top="0.75" bottom="0.75" header="0.3" footer="0.3"/>
  <pageSetup scale="7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A4CB-814B-40E1-BB4B-5219930C2543}">
  <sheetPr codeName="Sheet7">
    <tabColor theme="1"/>
    <pageSetUpPr fitToPage="1"/>
  </sheetPr>
  <dimension ref="A1:L12"/>
  <sheetViews>
    <sheetView zoomScale="70" zoomScaleNormal="70" workbookViewId="0">
      <selection activeCell="J3" sqref="J3"/>
    </sheetView>
  </sheetViews>
  <sheetFormatPr defaultRowHeight="14.5" x14ac:dyDescent="0.35"/>
  <cols>
    <col min="1" max="1" width="21.81640625" customWidth="1"/>
    <col min="3" max="3" width="9.453125" customWidth="1"/>
    <col min="4" max="4" width="56.81640625" bestFit="1" customWidth="1"/>
    <col min="5" max="5" width="3.81640625" customWidth="1"/>
    <col min="6" max="6" width="26.81640625" bestFit="1" customWidth="1"/>
    <col min="7" max="7" width="4.453125" customWidth="1"/>
    <col min="8" max="8" width="28.1796875" bestFit="1" customWidth="1"/>
    <col min="9" max="9" width="4.453125" customWidth="1"/>
    <col min="10" max="10" width="17.1796875" customWidth="1"/>
    <col min="11" max="11" width="4.81640625" customWidth="1"/>
    <col min="12" max="12" width="23" bestFit="1" customWidth="1"/>
    <col min="16" max="16" width="6.81640625" customWidth="1"/>
    <col min="17" max="17" width="13.81640625" bestFit="1" customWidth="1"/>
    <col min="18" max="18" width="21.1796875" bestFit="1" customWidth="1"/>
    <col min="19" max="21" width="17.81640625" bestFit="1" customWidth="1"/>
    <col min="22" max="22" width="19.54296875" bestFit="1" customWidth="1"/>
    <col min="23" max="24" width="17.81640625" bestFit="1" customWidth="1"/>
  </cols>
  <sheetData>
    <row r="1" spans="1:12" x14ac:dyDescent="0.35">
      <c r="L1" s="1"/>
    </row>
    <row r="2" spans="1:12" x14ac:dyDescent="0.35">
      <c r="A2" s="2" t="s">
        <v>5</v>
      </c>
      <c r="B2" s="3" t="s">
        <v>6</v>
      </c>
      <c r="D2" t="s">
        <v>39</v>
      </c>
      <c r="F2" t="s">
        <v>628</v>
      </c>
      <c r="H2" t="s">
        <v>629</v>
      </c>
      <c r="J2" t="s">
        <v>43</v>
      </c>
      <c r="L2" t="s">
        <v>52</v>
      </c>
    </row>
    <row r="3" spans="1:12" x14ac:dyDescent="0.35">
      <c r="A3" s="4" t="s">
        <v>8</v>
      </c>
      <c r="B3" s="5">
        <v>8760</v>
      </c>
      <c r="D3" t="s">
        <v>40</v>
      </c>
      <c r="F3">
        <v>15</v>
      </c>
      <c r="H3">
        <v>45</v>
      </c>
      <c r="J3" s="22">
        <v>0.2</v>
      </c>
      <c r="K3" s="22"/>
      <c r="L3">
        <v>3600</v>
      </c>
    </row>
    <row r="4" spans="1:12" x14ac:dyDescent="0.35">
      <c r="A4" s="6" t="s">
        <v>16</v>
      </c>
      <c r="B4" s="7">
        <v>4380</v>
      </c>
      <c r="D4" t="s">
        <v>41</v>
      </c>
    </row>
    <row r="5" spans="1:12" x14ac:dyDescent="0.35">
      <c r="A5" s="6" t="s">
        <v>657</v>
      </c>
      <c r="B5">
        <v>4380</v>
      </c>
      <c r="D5" t="s">
        <v>2</v>
      </c>
    </row>
    <row r="6" spans="1:12" x14ac:dyDescent="0.35">
      <c r="A6" s="6" t="s">
        <v>11</v>
      </c>
      <c r="B6" s="7">
        <v>8760</v>
      </c>
    </row>
    <row r="7" spans="1:12" x14ac:dyDescent="0.35">
      <c r="A7" s="453" t="s">
        <v>10</v>
      </c>
      <c r="B7" s="7">
        <v>8760</v>
      </c>
    </row>
    <row r="8" spans="1:12" x14ac:dyDescent="0.35">
      <c r="A8" s="453" t="s">
        <v>14</v>
      </c>
      <c r="B8" s="7">
        <v>2600</v>
      </c>
    </row>
    <row r="9" spans="1:12" x14ac:dyDescent="0.35">
      <c r="A9" s="453" t="s">
        <v>656</v>
      </c>
      <c r="B9">
        <v>1500</v>
      </c>
    </row>
    <row r="10" spans="1:12" x14ac:dyDescent="0.35">
      <c r="A10" s="453" t="s">
        <v>12</v>
      </c>
      <c r="B10" s="7">
        <v>8760</v>
      </c>
    </row>
    <row r="11" spans="1:12" x14ac:dyDescent="0.35">
      <c r="A11" s="454" t="s">
        <v>15</v>
      </c>
      <c r="B11" s="7">
        <v>600</v>
      </c>
    </row>
    <row r="12" spans="1:12" x14ac:dyDescent="0.35">
      <c r="A12" s="6" t="s">
        <v>13</v>
      </c>
      <c r="B12" s="7">
        <v>8760</v>
      </c>
    </row>
  </sheetData>
  <pageMargins left="0.7" right="0.7" top="0.75" bottom="0.75" header="0.3" footer="0.3"/>
  <pageSetup scale="58" orientation="landscape" r:id="rId1"/>
  <tableParts count="6">
    <tablePart r:id="rId2"/>
    <tablePart r:id="rId3"/>
    <tablePart r:id="rId4"/>
    <tablePart r:id="rId5"/>
    <tablePart r:id="rId6"/>
    <tablePart r:id="rId7"/>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9033-0A24-4116-A758-B5AD380775CA}">
  <sheetPr codeName="Sheet9">
    <tabColor theme="1"/>
    <pageSetUpPr fitToPage="1"/>
  </sheetPr>
  <dimension ref="A1:L52"/>
  <sheetViews>
    <sheetView zoomScale="85" zoomScaleNormal="85" workbookViewId="0">
      <selection activeCell="I7" sqref="I7"/>
    </sheetView>
  </sheetViews>
  <sheetFormatPr defaultRowHeight="14.5" x14ac:dyDescent="0.35"/>
  <cols>
    <col min="1" max="2" width="24.1796875" customWidth="1"/>
    <col min="3" max="3" width="69.81640625" bestFit="1" customWidth="1"/>
    <col min="4" max="4" width="12.81640625" customWidth="1"/>
    <col min="5" max="5" width="18.1796875" customWidth="1"/>
    <col min="6" max="6" width="21.81640625" customWidth="1"/>
    <col min="7" max="7" width="15.453125" customWidth="1"/>
    <col min="8" max="8" width="14.453125" customWidth="1"/>
    <col min="9" max="10" width="11.54296875" customWidth="1"/>
    <col min="11" max="11" width="11.1796875" bestFit="1" customWidth="1"/>
    <col min="12" max="12" width="21" customWidth="1"/>
  </cols>
  <sheetData>
    <row r="1" spans="1:12" x14ac:dyDescent="0.35">
      <c r="A1" s="1" t="s">
        <v>393</v>
      </c>
      <c r="B1" s="1"/>
      <c r="C1" s="200"/>
    </row>
    <row r="2" spans="1:12" ht="55.5" customHeight="1" x14ac:dyDescent="0.35">
      <c r="A2" s="53" t="s">
        <v>339</v>
      </c>
      <c r="B2" s="53" t="s">
        <v>139</v>
      </c>
      <c r="C2" s="53" t="s">
        <v>50</v>
      </c>
      <c r="D2" s="202" t="s">
        <v>45</v>
      </c>
      <c r="E2" s="202" t="s">
        <v>46</v>
      </c>
      <c r="F2" s="202" t="s">
        <v>47</v>
      </c>
      <c r="G2" s="202" t="s">
        <v>48</v>
      </c>
      <c r="H2" s="202" t="s">
        <v>49</v>
      </c>
      <c r="I2" s="204" t="s">
        <v>396</v>
      </c>
      <c r="J2" s="56" t="s">
        <v>109</v>
      </c>
      <c r="K2" s="198" t="s">
        <v>337</v>
      </c>
      <c r="L2" s="511" t="s">
        <v>386</v>
      </c>
    </row>
    <row r="3" spans="1:12" x14ac:dyDescent="0.35">
      <c r="A3" s="205"/>
      <c r="B3" s="205"/>
      <c r="C3" s="58" t="s">
        <v>3</v>
      </c>
      <c r="D3" s="59">
        <f>SUMIF(Table1323[BC Hydro xRM ECM],$C3,Table1323[iDemand Savings])</f>
        <v>0</v>
      </c>
      <c r="E3" s="59"/>
      <c r="F3" s="59">
        <f>SUMIF(Table1323[BC Hydro xRM ECM],$C3,Table1323[iBCH Demand])</f>
        <v>0</v>
      </c>
      <c r="G3" s="59"/>
      <c r="H3" s="59"/>
      <c r="I3" s="203">
        <f>SUMIF(Table1323[BC Hydro xRM ECM],$C3,Table1323[[ iHardwired Energy Savings]])</f>
        <v>0</v>
      </c>
      <c r="J3" s="205"/>
      <c r="K3" s="203">
        <f>SUMIF(Table1323[BC Hydro xRM ECM],$C3,Table1323[iHardwired Incentives])</f>
        <v>0</v>
      </c>
      <c r="L3" s="455">
        <f>IFERROR(I3*NLeRate+D3*NLeDemand,0)</f>
        <v>0</v>
      </c>
    </row>
    <row r="4" spans="1:12" x14ac:dyDescent="0.35">
      <c r="A4" s="205"/>
      <c r="B4" s="205"/>
      <c r="C4" s="60" t="s">
        <v>1</v>
      </c>
      <c r="D4" s="59">
        <f>SUMIF(Table1323[BC Hydro xRM ECM],$C4,Table1323[iDemand Savings])</f>
        <v>0</v>
      </c>
      <c r="E4" s="59"/>
      <c r="F4" s="59">
        <f>SUMIF(Table1323[BC Hydro xRM ECM],$C4,Table1323[iBCH Demand])</f>
        <v>0</v>
      </c>
      <c r="G4" s="59"/>
      <c r="H4" s="59"/>
      <c r="I4" s="203">
        <f>SUMIF(Table1323[BC Hydro xRM ECM],$C4,Table1323[[ iHardwired Energy Savings]])</f>
        <v>0</v>
      </c>
      <c r="J4" s="205"/>
      <c r="K4" s="203">
        <f>SUMIF(Table1323[BC Hydro xRM ECM],$C4,Table1323[iHardwired Incentives])</f>
        <v>0</v>
      </c>
      <c r="L4" s="455">
        <f>IFERROR(I4*NLeRate+D4*NLeDemand,0)</f>
        <v>0</v>
      </c>
    </row>
    <row r="5" spans="1:12" x14ac:dyDescent="0.35">
      <c r="A5" s="205"/>
      <c r="B5" s="205"/>
      <c r="C5" s="58" t="s">
        <v>4</v>
      </c>
      <c r="D5" s="59">
        <f>SUMIF(Table1323[BC Hydro xRM ECM],$C5,Table1323[iDemand Savings])</f>
        <v>0</v>
      </c>
      <c r="E5" s="59"/>
      <c r="F5" s="59">
        <f>SUMIF(Table1323[BC Hydro xRM ECM],$C5,Table1323[iBCH Demand])</f>
        <v>0</v>
      </c>
      <c r="G5" s="59"/>
      <c r="H5" s="59"/>
      <c r="I5" s="203">
        <f>SUMIF(Table1323[BC Hydro xRM ECM],$C5,Table1323[[ iHardwired Energy Savings]])</f>
        <v>0</v>
      </c>
      <c r="J5" s="205"/>
      <c r="K5" s="203">
        <f>SUMIF(Table1323[BC Hydro xRM ECM],$C5,Table1323[iHardwired Incentives])</f>
        <v>0</v>
      </c>
      <c r="L5" s="455">
        <f>IFERROR(I5*NLeRate+D5*NLeDemand,0)</f>
        <v>0</v>
      </c>
    </row>
    <row r="6" spans="1:12" x14ac:dyDescent="0.35">
      <c r="A6" s="205"/>
      <c r="B6" s="205"/>
      <c r="C6" s="60" t="s">
        <v>7</v>
      </c>
      <c r="D6" s="59">
        <f>SUMIF(Table1323[BC Hydro xRM ECM],$C6,Table1323[iDemand Savings])</f>
        <v>0</v>
      </c>
      <c r="E6" s="59"/>
      <c r="F6" s="59">
        <f>SUMIF(Table1323[BC Hydro xRM ECM],$C6,Table1323[iBCH Demand])</f>
        <v>0</v>
      </c>
      <c r="G6" s="59"/>
      <c r="H6" s="59"/>
      <c r="I6" s="203">
        <f>SUMIF(Table1323[BC Hydro xRM ECM],$C6,Table1323[[ iHardwired Energy Savings]])</f>
        <v>0</v>
      </c>
      <c r="J6" s="205"/>
      <c r="K6" s="203">
        <f>SUMIF(Table1323[BC Hydro xRM ECM],$C6,Table1323[iHardwired Incentives])</f>
        <v>0</v>
      </c>
      <c r="L6" s="455">
        <f>IFERROR(I6*NLeRate+D6*NLeDemand,0)</f>
        <v>0</v>
      </c>
    </row>
    <row r="7" spans="1:12" x14ac:dyDescent="0.35">
      <c r="A7" s="205"/>
      <c r="B7" s="205"/>
      <c r="C7" s="57" t="s">
        <v>53</v>
      </c>
      <c r="D7" s="59">
        <f>SUMIF(Table1323[BC Hydro xRM ECM],$C7,Table1323[iDemand Savings])</f>
        <v>0</v>
      </c>
      <c r="E7" s="59"/>
      <c r="F7" s="59">
        <f>SUMIF(Table1323[BC Hydro xRM ECM],$C7,Table1323[iBCH Demand])</f>
        <v>0</v>
      </c>
      <c r="G7" s="59"/>
      <c r="H7" s="59"/>
      <c r="I7" s="203">
        <f>SUM(Table1323[iControls Energy Savings])</f>
        <v>0</v>
      </c>
      <c r="J7" s="205"/>
      <c r="K7" s="203">
        <f>SUM(Table1323[iControls Incentives])</f>
        <v>0</v>
      </c>
      <c r="L7" s="455">
        <f>IFERROR(I7*NLeRate+D7*NLeDemand,0)</f>
        <v>0</v>
      </c>
    </row>
    <row r="8" spans="1:12" x14ac:dyDescent="0.35">
      <c r="D8" s="61">
        <f>SUM(D3:D7)</f>
        <v>0</v>
      </c>
      <c r="E8" s="61">
        <f>SUM(E3:E7)</f>
        <v>0</v>
      </c>
      <c r="F8" s="61">
        <f>SUM(F3:F7)</f>
        <v>0</v>
      </c>
      <c r="G8" s="62">
        <f>SUM(G3:G7)</f>
        <v>0</v>
      </c>
      <c r="H8" s="1"/>
      <c r="I8" s="62">
        <f>SUM(I3:I7)</f>
        <v>0</v>
      </c>
      <c r="K8" s="62">
        <f>SUM(K3:K7)</f>
        <v>0</v>
      </c>
      <c r="L8" s="62">
        <f>SUM(L3:L7)</f>
        <v>0</v>
      </c>
    </row>
    <row r="10" spans="1:12" x14ac:dyDescent="0.35">
      <c r="A10" s="1" t="s">
        <v>394</v>
      </c>
      <c r="B10" s="1"/>
      <c r="C10" s="200"/>
    </row>
    <row r="11" spans="1:12" ht="40.5" x14ac:dyDescent="0.35">
      <c r="A11" s="53" t="s">
        <v>339</v>
      </c>
      <c r="B11" s="53" t="s">
        <v>139</v>
      </c>
      <c r="C11" s="53" t="s">
        <v>50</v>
      </c>
      <c r="D11" s="54" t="s">
        <v>331</v>
      </c>
      <c r="E11" s="54" t="s">
        <v>336</v>
      </c>
      <c r="F11" s="55" t="s">
        <v>457</v>
      </c>
      <c r="G11" s="56"/>
      <c r="H11" s="55"/>
      <c r="I11" s="56"/>
      <c r="J11" s="510" t="s">
        <v>109</v>
      </c>
      <c r="K11" s="511" t="s">
        <v>337</v>
      </c>
      <c r="L11" s="511" t="s">
        <v>386</v>
      </c>
    </row>
    <row r="12" spans="1:12" x14ac:dyDescent="0.35">
      <c r="A12" s="57" t="str">
        <f>IFERROR(INDEX(NLIndexTable[Equivalent xRM End Use],MATCH(C12,NLIndexTable[Equivalent xRM ECM],0)),"")</f>
        <v>HVAC</v>
      </c>
      <c r="B12" s="57" t="s">
        <v>70</v>
      </c>
      <c r="C12" s="58" t="s">
        <v>327</v>
      </c>
      <c r="D12" s="59">
        <f>SUMIF(NLTable[xRM Measure],$C12,NLTable[Energy Savings])</f>
        <v>0</v>
      </c>
      <c r="E12" s="59">
        <f>SUMIF(NLTable[xRM Measure],$C12,NLTable[Demand Savings])</f>
        <v>0</v>
      </c>
      <c r="F12" s="59">
        <f>E12</f>
        <v>0</v>
      </c>
      <c r="G12" s="59"/>
      <c r="H12" s="59"/>
      <c r="I12" s="59"/>
      <c r="J12" s="197">
        <f>SUMIF(NLTable[xRM Measure],$C12,NLTable[Capital Cost])</f>
        <v>0</v>
      </c>
      <c r="K12" s="575">
        <f>SUMIF(NLTable[xRM Measure],$C12,NLTable[Incentive])</f>
        <v>0</v>
      </c>
      <c r="L12" s="197">
        <f>SUMIF(NLTable[xRM Measure],$C12,NLTable[Cost Savings])</f>
        <v>0</v>
      </c>
    </row>
    <row r="13" spans="1:12" x14ac:dyDescent="0.35">
      <c r="A13" s="57" t="str">
        <f>IFERROR(INDEX(NLIndexTable[Equivalent xRM End Use],MATCH(C13,NLIndexTable[Equivalent xRM ECM],0)),"")</f>
        <v>HVAC</v>
      </c>
      <c r="B13" s="57" t="s">
        <v>70</v>
      </c>
      <c r="C13" s="60" t="s">
        <v>187</v>
      </c>
      <c r="D13" s="59">
        <f>SUMIF(NLTable[xRM Measure],$C13,NLTable[Energy Savings])</f>
        <v>0</v>
      </c>
      <c r="E13" s="59">
        <f>SUMIF(NLTable[xRM Measure],$C13,NLTable[Demand Savings])</f>
        <v>0</v>
      </c>
      <c r="F13" s="59">
        <f t="shared" ref="F13:F27" si="0">E13</f>
        <v>0</v>
      </c>
      <c r="G13" s="59"/>
      <c r="H13" s="59"/>
      <c r="I13" s="59"/>
      <c r="J13" s="59">
        <f>SUMIF(NLTable[xRM Measure],$C13,NLTable[Capital Cost])</f>
        <v>0</v>
      </c>
      <c r="K13" s="575">
        <f>SUMIF(NLTable[xRM Measure],$C13,NLTable[Incentive])</f>
        <v>0</v>
      </c>
      <c r="L13" s="197">
        <f>SUMIF(NLTable[xRM Measure],$C13,NLTable[Cost Savings])</f>
        <v>0</v>
      </c>
    </row>
    <row r="14" spans="1:12" x14ac:dyDescent="0.35">
      <c r="A14" s="57" t="str">
        <f>IFERROR(INDEX(NLIndexTable[Equivalent xRM End Use],MATCH(C14,NLIndexTable[Equivalent xRM ECM],0)),"")</f>
        <v>Refrigeration</v>
      </c>
      <c r="B14" s="57" t="s">
        <v>72</v>
      </c>
      <c r="C14" s="58" t="s">
        <v>188</v>
      </c>
      <c r="D14" s="59">
        <f>SUMIF(NLTable[xRM Measure],$C14,NLTable[Energy Savings])</f>
        <v>0</v>
      </c>
      <c r="E14" s="59">
        <f>SUMIF(NLTable[xRM Measure],$C14,NLTable[Demand Savings])</f>
        <v>0</v>
      </c>
      <c r="F14" s="59">
        <f t="shared" si="0"/>
        <v>0</v>
      </c>
      <c r="G14" s="59"/>
      <c r="H14" s="59"/>
      <c r="I14" s="59"/>
      <c r="J14" s="59">
        <f>SUMIF(NLTable[xRM Measure],$C14,NLTable[Capital Cost])</f>
        <v>0</v>
      </c>
      <c r="K14" s="575">
        <f>SUMIF(NLTable[xRM Measure],$C14,NLTable[Incentive])</f>
        <v>0</v>
      </c>
      <c r="L14" s="197">
        <f>SUMIF(NLTable[xRM Measure],$C14,NLTable[Cost Savings])</f>
        <v>0</v>
      </c>
    </row>
    <row r="15" spans="1:12" x14ac:dyDescent="0.35">
      <c r="A15" s="57" t="str">
        <f>IFERROR(INDEX(NLIndexTable[Equivalent xRM End Use],MATCH(C15,NLIndexTable[Equivalent xRM ECM],0)),"")</f>
        <v>Refrigeration</v>
      </c>
      <c r="B15" s="57" t="s">
        <v>72</v>
      </c>
      <c r="C15" s="60" t="s">
        <v>191</v>
      </c>
      <c r="D15" s="59">
        <f>SUMIF(NLTable[xRM Measure],$C15,NLTable[Energy Savings])</f>
        <v>0</v>
      </c>
      <c r="E15" s="59">
        <f>SUMIF(NLTable[xRM Measure],$C15,NLTable[Demand Savings])</f>
        <v>0</v>
      </c>
      <c r="F15" s="59">
        <f t="shared" si="0"/>
        <v>0</v>
      </c>
      <c r="G15" s="59"/>
      <c r="H15" s="59"/>
      <c r="I15" s="59"/>
      <c r="J15" s="59">
        <f>SUMIF(NLTable[xRM Measure],$C15,NLTable[Capital Cost])</f>
        <v>0</v>
      </c>
      <c r="K15" s="575">
        <f>SUMIF(NLTable[xRM Measure],$C15,NLTable[Incentive])</f>
        <v>0</v>
      </c>
      <c r="L15" s="197">
        <f>SUMIF(NLTable[xRM Measure],$C15,NLTable[Cost Savings])</f>
        <v>0</v>
      </c>
    </row>
    <row r="16" spans="1:12" x14ac:dyDescent="0.35">
      <c r="A16" s="57" t="str">
        <f>IFERROR(INDEX(NLIndexTable[Equivalent xRM End Use],MATCH(C16,NLIndexTable[Equivalent xRM ECM],0)),"")</f>
        <v>Refrigeration</v>
      </c>
      <c r="B16" s="57" t="s">
        <v>72</v>
      </c>
      <c r="C16" s="58" t="s">
        <v>189</v>
      </c>
      <c r="D16" s="59">
        <f>SUMIF(NLTable[xRM Measure],$C16,NLTable[Energy Savings])</f>
        <v>0</v>
      </c>
      <c r="E16" s="59">
        <f>SUMIF(NLTable[xRM Measure],$C16,NLTable[Demand Savings])</f>
        <v>0</v>
      </c>
      <c r="F16" s="59">
        <f t="shared" si="0"/>
        <v>0</v>
      </c>
      <c r="G16" s="59"/>
      <c r="H16" s="59"/>
      <c r="I16" s="59"/>
      <c r="J16" s="59">
        <f>SUMIF(NLTable[xRM Measure],$C16,NLTable[Capital Cost])</f>
        <v>0</v>
      </c>
      <c r="K16" s="575">
        <f>SUMIF(NLTable[xRM Measure],$C16,NLTable[Incentive])</f>
        <v>0</v>
      </c>
      <c r="L16" s="197">
        <f>SUMIF(NLTable[xRM Measure],$C16,NLTable[Cost Savings])</f>
        <v>0</v>
      </c>
    </row>
    <row r="17" spans="1:12" x14ac:dyDescent="0.35">
      <c r="A17" s="57" t="str">
        <f>IFERROR(INDEX(NLIndexTable[Equivalent xRM End Use],MATCH(C17,NLIndexTable[Equivalent xRM ECM],0)),"")</f>
        <v>Refrigeration</v>
      </c>
      <c r="B17" s="57" t="s">
        <v>72</v>
      </c>
      <c r="C17" s="60" t="s">
        <v>328</v>
      </c>
      <c r="D17" s="59">
        <f>SUMIF(NLTable[xRM Measure],$C17,NLTable[Energy Savings])</f>
        <v>0</v>
      </c>
      <c r="E17" s="59">
        <f>SUMIF(NLTable[xRM Measure],$C17,NLTable[Demand Savings])</f>
        <v>0</v>
      </c>
      <c r="F17" s="59">
        <f t="shared" si="0"/>
        <v>0</v>
      </c>
      <c r="G17" s="59"/>
      <c r="H17" s="59"/>
      <c r="I17" s="59"/>
      <c r="J17" s="59">
        <f>SUMIF(NLTable[xRM Measure],$C17,NLTable[Capital Cost])</f>
        <v>0</v>
      </c>
      <c r="K17" s="575">
        <f>SUMIF(NLTable[xRM Measure],$C17,NLTable[Incentive])</f>
        <v>0</v>
      </c>
      <c r="L17" s="197">
        <f>SUMIF(NLTable[xRM Measure],$C17,NLTable[Cost Savings])</f>
        <v>0</v>
      </c>
    </row>
    <row r="18" spans="1:12" x14ac:dyDescent="0.35">
      <c r="A18" s="57" t="str">
        <f>IFERROR(INDEX(NLIndexTable[Equivalent xRM End Use],MATCH(C18,NLIndexTable[Equivalent xRM ECM],0)),"")</f>
        <v>Building Envelope</v>
      </c>
      <c r="B18" s="57" t="s">
        <v>75</v>
      </c>
      <c r="C18" s="58" t="s">
        <v>176</v>
      </c>
      <c r="D18" s="59">
        <f>SUMIF(NLTable[xRM Measure],$C18,NLTable[Energy Savings])</f>
        <v>0</v>
      </c>
      <c r="E18" s="59">
        <f>SUMIF(NLTable[xRM Measure],$C18,NLTable[Demand Savings])</f>
        <v>0</v>
      </c>
      <c r="F18" s="59">
        <f t="shared" si="0"/>
        <v>0</v>
      </c>
      <c r="G18" s="59"/>
      <c r="H18" s="59"/>
      <c r="I18" s="59"/>
      <c r="J18" s="59">
        <f>SUMIF(NLTable[xRM Measure],$C18,NLTable[Capital Cost])</f>
        <v>0</v>
      </c>
      <c r="K18" s="575">
        <f>SUMIF(NLTable[xRM Measure],$C18,NLTable[Incentive])</f>
        <v>0</v>
      </c>
      <c r="L18" s="197">
        <f>SUMIF(NLTable[xRM Measure],$C18,NLTable[Cost Savings])</f>
        <v>0</v>
      </c>
    </row>
    <row r="19" spans="1:12" x14ac:dyDescent="0.35">
      <c r="A19" s="57" t="str">
        <f>IFERROR(INDEX(NLIndexTable[Equivalent xRM End Use],MATCH(C19,NLIndexTable[Equivalent xRM ECM],0)),"")</f>
        <v>Building Envelope</v>
      </c>
      <c r="B19" s="57" t="s">
        <v>75</v>
      </c>
      <c r="C19" s="60" t="s">
        <v>179</v>
      </c>
      <c r="D19" s="59">
        <f>SUMIF(NLTable[xRM Measure],$C19,NLTable[Energy Savings])</f>
        <v>0</v>
      </c>
      <c r="E19" s="59">
        <f>SUMIF(NLTable[xRM Measure],$C19,NLTable[Demand Savings])</f>
        <v>0</v>
      </c>
      <c r="F19" s="59">
        <f t="shared" si="0"/>
        <v>0</v>
      </c>
      <c r="G19" s="59"/>
      <c r="H19" s="59"/>
      <c r="I19" s="59"/>
      <c r="J19" s="59">
        <f>SUMIF(NLTable[xRM Measure],$C19,NLTable[Capital Cost])</f>
        <v>0</v>
      </c>
      <c r="K19" s="575">
        <f>SUMIF(NLTable[xRM Measure],$C19,NLTable[Incentive])</f>
        <v>0</v>
      </c>
      <c r="L19" s="197">
        <f>SUMIF(NLTable[xRM Measure],$C19,NLTable[Cost Savings])</f>
        <v>0</v>
      </c>
    </row>
    <row r="20" spans="1:12" x14ac:dyDescent="0.35">
      <c r="A20" s="57" t="str">
        <f>IFERROR(INDEX(NLIndexTable[Equivalent xRM End Use],MATCH(C20,NLIndexTable[Equivalent xRM ECM],0)),"")</f>
        <v>Building Envelope</v>
      </c>
      <c r="B20" s="57" t="s">
        <v>75</v>
      </c>
      <c r="C20" s="58" t="s">
        <v>322</v>
      </c>
      <c r="D20" s="59">
        <f>SUMIF(NLTable[xRM Measure],$C20,NLTable[Energy Savings])</f>
        <v>0</v>
      </c>
      <c r="E20" s="59">
        <f>SUMIF(NLTable[xRM Measure],$C20,NLTable[Demand Savings])</f>
        <v>0</v>
      </c>
      <c r="F20" s="59">
        <f t="shared" si="0"/>
        <v>0</v>
      </c>
      <c r="G20" s="59"/>
      <c r="H20" s="59"/>
      <c r="I20" s="59"/>
      <c r="J20" s="59">
        <f>SUMIF(NLTable[xRM Measure],$C20,NLTable[Capital Cost])</f>
        <v>0</v>
      </c>
      <c r="K20" s="575">
        <f>SUMIF(NLTable[xRM Measure],$C20,NLTable[Incentive])</f>
        <v>0</v>
      </c>
      <c r="L20" s="197">
        <f>SUMIF(NLTable[xRM Measure],$C20,NLTable[Cost Savings])</f>
        <v>0</v>
      </c>
    </row>
    <row r="21" spans="1:12" x14ac:dyDescent="0.35">
      <c r="A21" s="57" t="str">
        <f>IFERROR(INDEX(NLIndexTable[Equivalent xRM End Use],MATCH(C21,NLIndexTable[Equivalent xRM ECM],0)),"")</f>
        <v>HVAC</v>
      </c>
      <c r="B21" s="57" t="s">
        <v>78</v>
      </c>
      <c r="C21" s="60" t="s">
        <v>180</v>
      </c>
      <c r="D21" s="59">
        <f>SUMIF(NLTable[xRM Measure],$C21,NLTable[Energy Savings])</f>
        <v>0</v>
      </c>
      <c r="E21" s="59">
        <f>SUMIF(NLTable[xRM Measure],$C21,NLTable[Demand Savings])</f>
        <v>0</v>
      </c>
      <c r="F21" s="59">
        <f>E21*0.5</f>
        <v>0</v>
      </c>
      <c r="G21" s="59"/>
      <c r="H21" s="59"/>
      <c r="I21" s="59"/>
      <c r="J21" s="59">
        <f>SUMIF(NLTable[xRM Measure],$C21,NLTable[Capital Cost])</f>
        <v>0</v>
      </c>
      <c r="K21" s="575">
        <f>SUMIF(NLTable[xRM Measure],$C21,NLTable[Incentive])</f>
        <v>0</v>
      </c>
      <c r="L21" s="197">
        <f>SUMIF(NLTable[xRM Measure],$C21,NLTable[Cost Savings])</f>
        <v>0</v>
      </c>
    </row>
    <row r="22" spans="1:12" x14ac:dyDescent="0.35">
      <c r="A22" s="57" t="str">
        <f>IFERROR(INDEX(NLIndexTable[Equivalent xRM End Use],MATCH(C22,NLIndexTable[Equivalent xRM ECM],0)),"")</f>
        <v>HVAC</v>
      </c>
      <c r="B22" s="57" t="s">
        <v>78</v>
      </c>
      <c r="C22" s="58" t="s">
        <v>323</v>
      </c>
      <c r="D22" s="59">
        <f>SUMIF(NLTable[xRM Measure],$C22,NLTable[Energy Savings])</f>
        <v>0</v>
      </c>
      <c r="E22" s="59">
        <f>SUMIF(NLTable[xRM Measure],$C22,NLTable[Demand Savings])</f>
        <v>0</v>
      </c>
      <c r="F22" s="59">
        <f t="shared" si="0"/>
        <v>0</v>
      </c>
      <c r="G22" s="59"/>
      <c r="H22" s="59"/>
      <c r="I22" s="59"/>
      <c r="J22" s="59">
        <f>SUMIF(NLTable[xRM Measure],$C22,NLTable[Capital Cost])</f>
        <v>0</v>
      </c>
      <c r="K22" s="575">
        <f>SUMIF(NLTable[xRM Measure],$C22,NLTable[Incentive])</f>
        <v>0</v>
      </c>
      <c r="L22" s="197">
        <f>SUMIF(NLTable[xRM Measure],$C22,NLTable[Cost Savings])</f>
        <v>0</v>
      </c>
    </row>
    <row r="23" spans="1:12" x14ac:dyDescent="0.35">
      <c r="A23" s="57" t="str">
        <f>IFERROR(INDEX(NLIndexTable[Equivalent xRM End Use],MATCH(C23,NLIndexTable[Equivalent xRM ECM],0)),"")</f>
        <v>Domestic  Hot Water</v>
      </c>
      <c r="B23" s="57" t="s">
        <v>71</v>
      </c>
      <c r="C23" s="60" t="s">
        <v>318</v>
      </c>
      <c r="D23" s="59">
        <f>SUMIF(NLTable[xRM Measure],$C23,NLTable[Energy Savings])</f>
        <v>0</v>
      </c>
      <c r="E23" s="59">
        <f>SUMIF(NLTable[xRM Measure],$C23,NLTable[Demand Savings])</f>
        <v>0</v>
      </c>
      <c r="F23" s="59">
        <f>E23*0.5</f>
        <v>0</v>
      </c>
      <c r="G23" s="59"/>
      <c r="H23" s="59"/>
      <c r="I23" s="59"/>
      <c r="J23" s="59">
        <f>SUMIF(NLTable[xRM Measure],$C23,NLTable[Capital Cost])</f>
        <v>0</v>
      </c>
      <c r="K23" s="575">
        <f>SUMIF(NLTable[xRM Measure],$C23,NLTable[Incentive])</f>
        <v>0</v>
      </c>
      <c r="L23" s="197">
        <f>SUMIF(NLTable[xRM Measure],$C23,NLTable[Cost Savings])</f>
        <v>0</v>
      </c>
    </row>
    <row r="24" spans="1:12" x14ac:dyDescent="0.35">
      <c r="A24" s="57" t="str">
        <f>IFERROR(INDEX(NLIndexTable[Equivalent xRM End Use],MATCH(C24,NLIndexTable[Equivalent xRM ECM],0)),"")</f>
        <v xml:space="preserve">Food Preparation </v>
      </c>
      <c r="B24" s="57" t="s">
        <v>67</v>
      </c>
      <c r="C24" s="58" t="s">
        <v>156</v>
      </c>
      <c r="D24" s="59">
        <f>SUMIF(NLTable[xRM Measure],$C24,NLTable[Energy Savings])</f>
        <v>0</v>
      </c>
      <c r="E24" s="59">
        <f>SUMIF(NLTable[xRM Measure],$C24,NLTable[Demand Savings])</f>
        <v>0</v>
      </c>
      <c r="F24" s="59">
        <f t="shared" si="0"/>
        <v>0</v>
      </c>
      <c r="G24" s="59"/>
      <c r="H24" s="59"/>
      <c r="I24" s="59"/>
      <c r="J24" s="59">
        <f>SUMIF(NLTable[xRM Measure],$C24,NLTable[Capital Cost])</f>
        <v>0</v>
      </c>
      <c r="K24" s="575">
        <f>SUMIF(NLTable[xRM Measure],$C24,NLTable[Incentive])</f>
        <v>0</v>
      </c>
      <c r="L24" s="197">
        <f>SUMIF(NLTable[xRM Measure],$C24,NLTable[Cost Savings])</f>
        <v>0</v>
      </c>
    </row>
    <row r="25" spans="1:12" x14ac:dyDescent="0.35">
      <c r="A25" s="57" t="str">
        <f>IFERROR(INDEX(NLIndexTable[Equivalent xRM End Use],MATCH(C25,NLIndexTable[Equivalent xRM ECM],0)),"")</f>
        <v xml:space="preserve">Food Preparation </v>
      </c>
      <c r="B25" s="57" t="s">
        <v>67</v>
      </c>
      <c r="C25" s="60" t="s">
        <v>161</v>
      </c>
      <c r="D25" s="59">
        <f>SUMIF(NLTable[xRM Measure],$C25,NLTable[Energy Savings])</f>
        <v>0</v>
      </c>
      <c r="E25" s="59">
        <f>SUMIF(NLTable[xRM Measure],$C25,NLTable[Demand Savings])</f>
        <v>0</v>
      </c>
      <c r="F25" s="59">
        <f t="shared" si="0"/>
        <v>0</v>
      </c>
      <c r="G25" s="59"/>
      <c r="H25" s="59"/>
      <c r="I25" s="59"/>
      <c r="J25" s="59">
        <f>SUMIF(NLTable[xRM Measure],$C25,NLTable[Capital Cost])</f>
        <v>0</v>
      </c>
      <c r="K25" s="575">
        <f>SUMIF(NLTable[xRM Measure],$C25,NLTable[Incentive])</f>
        <v>0</v>
      </c>
      <c r="L25" s="197">
        <f>SUMIF(NLTable[xRM Measure],$C25,NLTable[Cost Savings])</f>
        <v>0</v>
      </c>
    </row>
    <row r="26" spans="1:12" x14ac:dyDescent="0.35">
      <c r="A26" s="57" t="str">
        <f>IFERROR(INDEX(NLIndexTable[Equivalent xRM End Use],MATCH(C26,NLIndexTable[Equivalent xRM ECM],0)),"")</f>
        <v xml:space="preserve">Food Preparation </v>
      </c>
      <c r="B26" s="57" t="s">
        <v>67</v>
      </c>
      <c r="C26" s="58" t="s">
        <v>164</v>
      </c>
      <c r="D26" s="59">
        <f>SUMIF(NLTable[xRM Measure],$C26,NLTable[Energy Savings])</f>
        <v>0</v>
      </c>
      <c r="E26" s="59">
        <f>SUMIF(NLTable[xRM Measure],$C26,NLTable[Demand Savings])</f>
        <v>0</v>
      </c>
      <c r="F26" s="59">
        <f t="shared" si="0"/>
        <v>0</v>
      </c>
      <c r="G26" s="59"/>
      <c r="H26" s="59"/>
      <c r="I26" s="59"/>
      <c r="J26" s="59">
        <f>SUMIF(NLTable[xRM Measure],$C26,NLTable[Capital Cost])</f>
        <v>0</v>
      </c>
      <c r="K26" s="575">
        <f>SUMIF(NLTable[xRM Measure],$C26,NLTable[Incentive])</f>
        <v>0</v>
      </c>
      <c r="L26" s="197">
        <f>SUMIF(NLTable[xRM Measure],$C26,NLTable[Cost Savings])</f>
        <v>0</v>
      </c>
    </row>
    <row r="27" spans="1:12" x14ac:dyDescent="0.35">
      <c r="A27" s="57" t="str">
        <f>IFERROR(INDEX(NLIndexTable[Equivalent xRM End Use],MATCH(C27,NLIndexTable[Equivalent xRM ECM],0)),"")</f>
        <v xml:space="preserve">Food Preparation </v>
      </c>
      <c r="B27" s="57" t="s">
        <v>67</v>
      </c>
      <c r="C27" s="60" t="s">
        <v>314</v>
      </c>
      <c r="D27" s="59">
        <f>SUMIF(NLTable[xRM Measure],$C27,NLTable[Energy Savings])</f>
        <v>0</v>
      </c>
      <c r="E27" s="59">
        <f>SUMIF(NLTable[xRM Measure],$C27,NLTable[Demand Savings])</f>
        <v>0</v>
      </c>
      <c r="F27" s="59">
        <f t="shared" si="0"/>
        <v>0</v>
      </c>
      <c r="G27" s="59"/>
      <c r="H27" s="59"/>
      <c r="I27" s="59"/>
      <c r="J27" s="59">
        <f>SUMIF(NLTable[xRM Measure],$C27,NLTable[Capital Cost])</f>
        <v>0</v>
      </c>
      <c r="K27" s="575">
        <f>SUMIF(NLTable[xRM Measure],$C27,NLTable[Incentive])</f>
        <v>0</v>
      </c>
      <c r="L27" s="197">
        <f>SUMIF(NLTable[xRM Measure],$C27,NLTable[Cost Savings])</f>
        <v>0</v>
      </c>
    </row>
    <row r="28" spans="1:12" x14ac:dyDescent="0.35">
      <c r="D28" s="61">
        <f t="shared" ref="D28:F28" si="1">SUM(D12:D27)</f>
        <v>0</v>
      </c>
      <c r="E28" s="61">
        <f t="shared" si="1"/>
        <v>0</v>
      </c>
      <c r="F28" s="61">
        <f t="shared" si="1"/>
        <v>0</v>
      </c>
      <c r="G28" s="61"/>
      <c r="I28" s="61"/>
      <c r="J28" s="61">
        <f>SUM(J12:J27)</f>
        <v>0</v>
      </c>
      <c r="K28" s="576">
        <f>SUM(K12:K27)</f>
        <v>0</v>
      </c>
      <c r="L28" s="62">
        <f t="shared" ref="L28" si="2">SUM(L12:L27)</f>
        <v>0</v>
      </c>
    </row>
    <row r="29" spans="1:12" x14ac:dyDescent="0.35">
      <c r="K29" s="577"/>
    </row>
    <row r="30" spans="1:12" x14ac:dyDescent="0.35">
      <c r="A30" s="1" t="s">
        <v>395</v>
      </c>
      <c r="B30" s="1"/>
      <c r="K30" s="577"/>
    </row>
    <row r="31" spans="1:12" ht="30.65" customHeight="1" x14ac:dyDescent="0.35">
      <c r="A31" s="53" t="s">
        <v>340</v>
      </c>
      <c r="B31" s="53"/>
      <c r="C31" s="53" t="s">
        <v>50</v>
      </c>
      <c r="D31" s="54" t="s">
        <v>332</v>
      </c>
      <c r="E31" s="55" t="s">
        <v>334</v>
      </c>
      <c r="F31" s="55" t="s">
        <v>456</v>
      </c>
      <c r="G31" s="55" t="s">
        <v>333</v>
      </c>
      <c r="H31" s="56" t="s">
        <v>335</v>
      </c>
      <c r="I31" s="56"/>
      <c r="J31" s="56" t="s">
        <v>109</v>
      </c>
      <c r="K31" s="578" t="s">
        <v>337</v>
      </c>
      <c r="L31" s="198" t="s">
        <v>386</v>
      </c>
    </row>
    <row r="32" spans="1:12" x14ac:dyDescent="0.35">
      <c r="A32" s="57" t="str">
        <f>IFERROR(INDEX(NLIndexTable[Equivalent xRM End Use],MATCH(C32,NLIndexTable[Equivalent xRM ECM],0)),"")</f>
        <v>LCE - HVAC</v>
      </c>
      <c r="B32" s="57" t="s">
        <v>78</v>
      </c>
      <c r="C32" s="58" t="s">
        <v>183</v>
      </c>
      <c r="D32" s="59">
        <f>SUMIF(NLTable[xRM Measure],$C32,NLTable[Energy Savings])*-1</f>
        <v>0</v>
      </c>
      <c r="E32" s="59">
        <f>SUMIF(NLTable[xRM Measure],$C32,NLTable[Demand Savings])*-1</f>
        <v>0</v>
      </c>
      <c r="F32" s="59">
        <f>E32*0.5</f>
        <v>0</v>
      </c>
      <c r="G32" s="59">
        <f>SUMIF(NLTable[xRM Measure],$C32,NLTable[Gas Savings])</f>
        <v>0</v>
      </c>
      <c r="H32" s="59">
        <f>SUMIF(NLTable[xRM Measure],$C32,NLTable[GHG Reduction])</f>
        <v>0</v>
      </c>
      <c r="I32" s="59"/>
      <c r="J32" s="59">
        <f>SUMIF(NLTable[xRM Measure],$C32,NLTable[Capital Cost])</f>
        <v>0</v>
      </c>
      <c r="K32" s="575">
        <f>SUMIF(NLTable[xRM Measure],$C32,NLTable[Incentive])</f>
        <v>0</v>
      </c>
      <c r="L32" s="197">
        <f>SUMIF(NLTable[xRM Measure],$C32,NLTable[Cost Savings])</f>
        <v>0</v>
      </c>
    </row>
    <row r="33" spans="1:12" x14ac:dyDescent="0.35">
      <c r="A33" s="57" t="str">
        <f>IFERROR(INDEX(NLIndexTable[Equivalent xRM End Use],MATCH(C33,NLIndexTable[Equivalent xRM ECM],0)),"")</f>
        <v>LCE - HVAC</v>
      </c>
      <c r="B33" s="57" t="s">
        <v>78</v>
      </c>
      <c r="C33" s="60" t="s">
        <v>185</v>
      </c>
      <c r="D33" s="59">
        <f>SUMIF(NLTable[xRM Measure],$C33,NLTable[Energy Savings])*-1</f>
        <v>0</v>
      </c>
      <c r="E33" s="59">
        <f>SUMIF(NLTable[xRM Measure],$C33,NLTable[Demand Savings])*-1</f>
        <v>0</v>
      </c>
      <c r="F33" s="59">
        <f>E33*0.5</f>
        <v>0</v>
      </c>
      <c r="G33" s="59">
        <f>SUMIF(NLTable[xRM Measure],$C33,NLTable[Gas Savings])</f>
        <v>0</v>
      </c>
      <c r="H33" s="59">
        <f>SUMIF(NLTable[xRM Measure],$C33,NLTable[GHG Reduction])</f>
        <v>0</v>
      </c>
      <c r="I33" s="59"/>
      <c r="J33" s="59">
        <f>SUMIF(NLTable[xRM Measure],$C33,NLTable[Capital Cost])</f>
        <v>0</v>
      </c>
      <c r="K33" s="575">
        <f>SUMIF(NLTable[xRM Measure],$C33,NLTable[Incentive])</f>
        <v>0</v>
      </c>
      <c r="L33" s="197">
        <f>SUMIF(NLTable[xRM Measure],$C33,NLTable[Cost Savings])</f>
        <v>0</v>
      </c>
    </row>
    <row r="34" spans="1:12" x14ac:dyDescent="0.35">
      <c r="A34" s="57" t="str">
        <f>IFERROR(INDEX(NLIndexTable[Equivalent xRM End Use],MATCH(C34,NLIndexTable[Equivalent xRM ECM],0)),"")</f>
        <v>LCE - HVAC</v>
      </c>
      <c r="B34" s="57" t="s">
        <v>78</v>
      </c>
      <c r="C34" s="58" t="s">
        <v>325</v>
      </c>
      <c r="D34" s="59">
        <f>SUMIF(NLTable[xRM Measure],$C34,NLTable[Energy Savings])*-1</f>
        <v>0</v>
      </c>
      <c r="E34" s="59">
        <f>SUMIF(NLTable[xRM Measure],$C34,NLTable[Demand Savings])*-1</f>
        <v>0</v>
      </c>
      <c r="F34" s="59">
        <f>E34*0.3</f>
        <v>0</v>
      </c>
      <c r="G34" s="59">
        <f>SUMIF(NLTable[xRM Measure],$C34,NLTable[Gas Savings])</f>
        <v>0</v>
      </c>
      <c r="H34" s="59">
        <f>SUMIF(NLTable[xRM Measure],$C34,NLTable[GHG Reduction])</f>
        <v>0</v>
      </c>
      <c r="I34" s="59"/>
      <c r="J34" s="59">
        <f>SUMIF(NLTable[xRM Measure],$C34,NLTable[Capital Cost])</f>
        <v>0</v>
      </c>
      <c r="K34" s="575">
        <f>SUMIF(NLTable[xRM Measure],$C34,NLTable[Incentive])</f>
        <v>0</v>
      </c>
      <c r="L34" s="197">
        <f>SUMIF(NLTable[xRM Measure],$C34,NLTable[Cost Savings])</f>
        <v>0</v>
      </c>
    </row>
    <row r="35" spans="1:12" x14ac:dyDescent="0.35">
      <c r="A35" s="57" t="str">
        <f>IFERROR(INDEX(NLIndexTable[Equivalent xRM End Use],MATCH(C35,NLIndexTable[Equivalent xRM ECM],0)),"")</f>
        <v>LCE - HVAC</v>
      </c>
      <c r="B35" s="57" t="s">
        <v>78</v>
      </c>
      <c r="C35" s="60" t="s">
        <v>326</v>
      </c>
      <c r="D35" s="59">
        <f>SUMIF(NLTable[xRM Measure],$C35,NLTable[Energy Savings])*-1</f>
        <v>0</v>
      </c>
      <c r="E35" s="59">
        <f>SUMIF(NLTable[xRM Measure],$C35,NLTable[Demand Savings])*-1</f>
        <v>0</v>
      </c>
      <c r="F35" s="59">
        <f>E35*0.6</f>
        <v>0</v>
      </c>
      <c r="G35" s="59">
        <f>SUMIF(NLTable[xRM Measure],$C35,NLTable[Gas Savings])</f>
        <v>0</v>
      </c>
      <c r="H35" s="59">
        <f>SUMIF(NLTable[xRM Measure],$C35,NLTable[GHG Reduction])</f>
        <v>0</v>
      </c>
      <c r="I35" s="59"/>
      <c r="J35" s="59">
        <f>SUMIF(NLTable[xRM Measure],$C35,NLTable[Capital Cost])</f>
        <v>0</v>
      </c>
      <c r="K35" s="575">
        <f>SUMIF(NLTable[xRM Measure],$C35,NLTable[Incentive])</f>
        <v>0</v>
      </c>
      <c r="L35" s="197">
        <f>SUMIF(NLTable[xRM Measure],$C35,NLTable[Cost Savings])</f>
        <v>0</v>
      </c>
    </row>
    <row r="36" spans="1:12" x14ac:dyDescent="0.35">
      <c r="A36" s="57" t="str">
        <f>IFERROR(INDEX(NLIndexTable[Equivalent xRM End Use],MATCH(C36,NLIndexTable[Equivalent xRM ECM],0)),"")</f>
        <v xml:space="preserve">LCE - Domestic Hot Water </v>
      </c>
      <c r="B36" s="57" t="s">
        <v>71</v>
      </c>
      <c r="C36" s="60" t="s">
        <v>320</v>
      </c>
      <c r="D36" s="59">
        <f>SUMIF(NLTable[xRM Measure],$C36,NLTable[Energy Savings])*-1</f>
        <v>0</v>
      </c>
      <c r="E36" s="59">
        <f>SUMIF(NLTable[xRM Measure],$C36,NLTable[Demand Savings])*-1</f>
        <v>0</v>
      </c>
      <c r="F36" s="59">
        <f>E36*0.7</f>
        <v>0</v>
      </c>
      <c r="G36" s="59">
        <f>SUMIF(NLTable[xRM Measure],$C36,NLTable[Gas Savings])</f>
        <v>0</v>
      </c>
      <c r="H36" s="59">
        <f>SUMIF(NLTable[xRM Measure],$C36,NLTable[GHG Reduction])</f>
        <v>0</v>
      </c>
      <c r="I36" s="59"/>
      <c r="J36" s="59">
        <f>SUMIF(NLTable[xRM Measure],$C36,NLTable[Capital Cost])</f>
        <v>0</v>
      </c>
      <c r="K36" s="575">
        <f>SUMIF(NLTable[xRM Measure],$C36,NLTable[Incentive])</f>
        <v>0</v>
      </c>
      <c r="L36" s="197">
        <f>SUMIF(NLTable[xRM Measure],$C36,NLTable[Cost Savings])</f>
        <v>0</v>
      </c>
    </row>
    <row r="37" spans="1:12" x14ac:dyDescent="0.35">
      <c r="A37" s="57" t="str">
        <f>IFERROR(INDEX(NLIndexTable[Equivalent xRM End Use],MATCH(C37,NLIndexTable[Equivalent xRM ECM],0)),"")</f>
        <v xml:space="preserve">LCE - Domestic Hot Water </v>
      </c>
      <c r="B37" s="57" t="s">
        <v>71</v>
      </c>
      <c r="C37" s="58" t="s">
        <v>169</v>
      </c>
      <c r="D37" s="59">
        <f>SUMIF(NLTable[xRM Measure],$C37,NLTable[Energy Savings])*-1</f>
        <v>0</v>
      </c>
      <c r="E37" s="59">
        <f>SUMIF(NLTable[xRM Measure],$C37,NLTable[Demand Savings])*-1</f>
        <v>0</v>
      </c>
      <c r="F37" s="59">
        <f>E37*0.5</f>
        <v>0</v>
      </c>
      <c r="G37" s="59">
        <f>SUMIF(NLTable[xRM Measure],$C37,NLTable[Gas Savings])</f>
        <v>0</v>
      </c>
      <c r="H37" s="59">
        <f>SUMIF(NLTable[xRM Measure],$C37,NLTable[GHG Reduction])</f>
        <v>0</v>
      </c>
      <c r="I37" s="59"/>
      <c r="J37" s="59">
        <f>SUMIF(NLTable[xRM Measure],$C37,NLTable[Capital Cost])</f>
        <v>0</v>
      </c>
      <c r="K37" s="575">
        <f>SUMIF(NLTable[xRM Measure],$C37,NLTable[Incentive])</f>
        <v>0</v>
      </c>
      <c r="L37" s="197">
        <f>SUMIF(NLTable[xRM Measure],$C37,NLTable[Cost Savings])</f>
        <v>0</v>
      </c>
    </row>
    <row r="38" spans="1:12" x14ac:dyDescent="0.35">
      <c r="A38" s="57" t="str">
        <f>IFERROR(INDEX(NLIndexTable[Equivalent xRM End Use],MATCH(C38,NLIndexTable[Equivalent xRM ECM],0)),"")</f>
        <v xml:space="preserve">LCE - Domestic Hot Water </v>
      </c>
      <c r="B38" s="57" t="s">
        <v>71</v>
      </c>
      <c r="C38" s="60" t="s">
        <v>174</v>
      </c>
      <c r="D38" s="59">
        <f>SUMIF(NLTable[xRM Measure],$C38,NLTable[Energy Savings])*-1</f>
        <v>0</v>
      </c>
      <c r="E38" s="59">
        <f>SUMIF(NLTable[xRM Measure],$C38,NLTable[Demand Savings])*-1</f>
        <v>0</v>
      </c>
      <c r="F38" s="59">
        <f>E38*0.5</f>
        <v>0</v>
      </c>
      <c r="G38" s="59">
        <f>SUMIF(NLTable[xRM Measure],$C38,NLTable[Gas Savings])</f>
        <v>0</v>
      </c>
      <c r="H38" s="59">
        <f>SUMIF(NLTable[xRM Measure],$C38,NLTable[GHG Reduction])</f>
        <v>0</v>
      </c>
      <c r="I38" s="59"/>
      <c r="J38" s="59">
        <f>SUMIF(NLTable[xRM Measure],$C38,NLTable[Capital Cost])</f>
        <v>0</v>
      </c>
      <c r="K38" s="575">
        <f>SUMIF(NLTable[xRM Measure],$C38,NLTable[Incentive])</f>
        <v>0</v>
      </c>
      <c r="L38" s="197">
        <f>SUMIF(NLTable[xRM Measure],$C38,NLTable[Cost Savings])</f>
        <v>0</v>
      </c>
    </row>
    <row r="39" spans="1:12" x14ac:dyDescent="0.35">
      <c r="A39" s="57" t="str">
        <f>IFERROR(INDEX(NLIndexTable[Equivalent xRM End Use],MATCH(C39,NLIndexTable[Equivalent xRM ECM],0)),"")</f>
        <v xml:space="preserve">LCE - Domestic Hot Water </v>
      </c>
      <c r="B39" s="57" t="s">
        <v>71</v>
      </c>
      <c r="C39" s="58" t="s">
        <v>173</v>
      </c>
      <c r="D39" s="59">
        <f>SUMIF(NLTable[xRM Measure],$C39,NLTable[Energy Savings])*-1</f>
        <v>0</v>
      </c>
      <c r="E39" s="59">
        <f>SUMIF(NLTable[xRM Measure],$C39,NLTable[Demand Savings])*-1</f>
        <v>0</v>
      </c>
      <c r="F39" s="59">
        <f>E39*0.5</f>
        <v>0</v>
      </c>
      <c r="G39" s="59">
        <f>SUMIF(NLTable[xRM Measure],$C39,NLTable[Gas Savings])</f>
        <v>0</v>
      </c>
      <c r="H39" s="59">
        <f>SUMIF(NLTable[xRM Measure],$C39,NLTable[GHG Reduction])</f>
        <v>0</v>
      </c>
      <c r="I39" s="59"/>
      <c r="J39" s="59">
        <f>SUMIF(NLTable[xRM Measure],$C39,NLTable[Capital Cost])</f>
        <v>0</v>
      </c>
      <c r="K39" s="575">
        <f>SUMIF(NLTable[xRM Measure],$C39,NLTable[Incentive])</f>
        <v>0</v>
      </c>
      <c r="L39" s="197">
        <f>SUMIF(NLTable[xRM Measure],$C39,NLTable[Cost Savings])</f>
        <v>0</v>
      </c>
    </row>
    <row r="40" spans="1:12" x14ac:dyDescent="0.35">
      <c r="A40" s="57" t="str">
        <f>IFERROR(INDEX(NLIndexTable[Equivalent xRM End Use],MATCH(C40,NLIndexTable[Equivalent xRM ECM],0)),"")</f>
        <v xml:space="preserve">LCE - Food Preparation </v>
      </c>
      <c r="B40" s="57" t="s">
        <v>67</v>
      </c>
      <c r="C40" s="60" t="s">
        <v>316</v>
      </c>
      <c r="D40" s="59">
        <f>SUMIF(NLTable[xRM Measure],$C40,NLTable[Energy Savings])*-1</f>
        <v>0</v>
      </c>
      <c r="E40" s="59">
        <f>SUMIF(NLTable[xRM Measure],$C40,NLTable[Demand Savings])*-1</f>
        <v>0</v>
      </c>
      <c r="F40" s="59">
        <f t="shared" ref="F40" si="3">E40</f>
        <v>0</v>
      </c>
      <c r="G40" s="59">
        <f>SUMIF(NLTable[xRM Measure],$C40,NLTable[Gas Savings])</f>
        <v>0</v>
      </c>
      <c r="H40" s="59">
        <f>SUMIF(NLTable[xRM Measure],$C40,NLTable[GHG Reduction])</f>
        <v>0</v>
      </c>
      <c r="I40" s="59"/>
      <c r="J40" s="59">
        <f>SUMIF(NLTable[xRM Measure],$C40,NLTable[Capital Cost])</f>
        <v>0</v>
      </c>
      <c r="K40" s="575">
        <f>SUMIF(NLTable[xRM Measure],$C40,NLTable[Incentive])</f>
        <v>0</v>
      </c>
      <c r="L40" s="197">
        <f>SUMIF(NLTable[xRM Measure],$C40,NLTable[Cost Savings])</f>
        <v>0</v>
      </c>
    </row>
    <row r="41" spans="1:12" x14ac:dyDescent="0.35">
      <c r="D41" s="61">
        <f t="shared" ref="D41:L41" si="4">SUM(D32:D40)</f>
        <v>0</v>
      </c>
      <c r="E41" s="61">
        <f t="shared" si="4"/>
        <v>0</v>
      </c>
      <c r="F41" s="61">
        <f t="shared" si="4"/>
        <v>0</v>
      </c>
      <c r="G41" s="61">
        <f t="shared" si="4"/>
        <v>0</v>
      </c>
      <c r="H41" s="61">
        <f t="shared" si="4"/>
        <v>0</v>
      </c>
      <c r="I41" s="61"/>
      <c r="J41" s="61">
        <f t="shared" si="4"/>
        <v>0</v>
      </c>
      <c r="K41" s="576">
        <f t="shared" si="4"/>
        <v>0</v>
      </c>
      <c r="L41" s="62">
        <f t="shared" si="4"/>
        <v>0</v>
      </c>
    </row>
    <row r="43" spans="1:12" ht="40.5" x14ac:dyDescent="0.35">
      <c r="A43" s="581" t="s">
        <v>781</v>
      </c>
      <c r="B43" s="205"/>
      <c r="C43" s="205"/>
      <c r="D43" s="205"/>
      <c r="E43" s="205"/>
      <c r="F43" s="205"/>
      <c r="G43" s="205"/>
      <c r="H43" s="205"/>
      <c r="I43" s="510"/>
      <c r="J43" s="510" t="s">
        <v>109</v>
      </c>
      <c r="K43" s="580" t="s">
        <v>337</v>
      </c>
      <c r="L43" s="511" t="s">
        <v>386</v>
      </c>
    </row>
    <row r="44" spans="1:12" x14ac:dyDescent="0.35">
      <c r="A44" s="581" t="s">
        <v>781</v>
      </c>
      <c r="B44" s="205"/>
      <c r="C44" s="205"/>
      <c r="D44" s="205"/>
      <c r="E44" s="205"/>
      <c r="F44" s="205"/>
      <c r="G44" s="205"/>
      <c r="H44" s="205"/>
      <c r="I44" s="205"/>
      <c r="J44" s="584">
        <f>Mechanical!F2</f>
        <v>0</v>
      </c>
      <c r="K44" s="584">
        <f>Summary!V43</f>
        <v>0</v>
      </c>
      <c r="L44" s="205"/>
    </row>
    <row r="46" spans="1:12" x14ac:dyDescent="0.35">
      <c r="A46" s="1" t="s">
        <v>785</v>
      </c>
      <c r="B46" t="s">
        <v>786</v>
      </c>
      <c r="C46" s="587" t="s">
        <v>788</v>
      </c>
    </row>
    <row r="47" spans="1:12" x14ac:dyDescent="0.35">
      <c r="A47" s="205" t="s">
        <v>65</v>
      </c>
      <c r="B47" s="585">
        <f>K8+K28</f>
        <v>0</v>
      </c>
      <c r="C47" s="588" t="e">
        <f>B47*$B$51</f>
        <v>#DIV/0!</v>
      </c>
    </row>
    <row r="48" spans="1:12" x14ac:dyDescent="0.35">
      <c r="A48" s="205" t="s">
        <v>132</v>
      </c>
      <c r="B48" s="585">
        <f>K41</f>
        <v>0</v>
      </c>
      <c r="C48" s="588" t="e">
        <f>B48*$B$51</f>
        <v>#DIV/0!</v>
      </c>
    </row>
    <row r="49" spans="1:4" x14ac:dyDescent="0.35">
      <c r="A49" s="205" t="s">
        <v>782</v>
      </c>
      <c r="B49" s="586">
        <f>K44</f>
        <v>0</v>
      </c>
      <c r="C49" s="588">
        <f>B49</f>
        <v>0</v>
      </c>
    </row>
    <row r="50" spans="1:4" x14ac:dyDescent="0.35">
      <c r="B50" s="577">
        <f>SUM(B47:B49)</f>
        <v>0</v>
      </c>
      <c r="C50" s="589" t="e">
        <f>SUM(C47:C49)</f>
        <v>#DIV/0!</v>
      </c>
      <c r="D50" s="582">
        <f>Summary!Y16</f>
        <v>0</v>
      </c>
    </row>
    <row r="51" spans="1:4" x14ac:dyDescent="0.35">
      <c r="A51" s="583" t="s">
        <v>787</v>
      </c>
      <c r="B51" s="590" t="e">
        <f>(D50-B49)/SUM(B47:B48)</f>
        <v>#DIV/0!</v>
      </c>
    </row>
    <row r="52" spans="1:4" x14ac:dyDescent="0.35">
      <c r="B52" t="s">
        <v>789</v>
      </c>
    </row>
  </sheetData>
  <sheetProtection algorithmName="SHA-512" hashValue="1clzk3ZrC9r45hg8PEUWEXcMMASXembFJBumxrH6CW13pdsOpeTKyv6bEghrSx4bHnSMiGORDXcs5dEuYyQ2Ow==" saltValue="bYrQZcv8mJ6x/GGVPaXoCQ==" spinCount="100000" sheet="1" objects="1" scenarios="1"/>
  <pageMargins left="0.7" right="0.7" top="0.75" bottom="0.75" header="0.3" footer="0.3"/>
  <pageSetup scale="45"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80F18-BCD4-47B0-AF91-42DEA1F5FE2C}">
  <sheetPr codeName="Sheet10">
    <tabColor theme="1"/>
  </sheetPr>
  <dimension ref="A1:F201"/>
  <sheetViews>
    <sheetView topLeftCell="A139" workbookViewId="0">
      <selection activeCell="A24" sqref="A24:M25"/>
    </sheetView>
  </sheetViews>
  <sheetFormatPr defaultRowHeight="14.5" x14ac:dyDescent="0.35"/>
  <cols>
    <col min="1" max="1" width="42.81640625" customWidth="1"/>
  </cols>
  <sheetData>
    <row r="1" spans="1:6" x14ac:dyDescent="0.35">
      <c r="A1" t="s">
        <v>341</v>
      </c>
      <c r="F1" s="50" t="s">
        <v>659</v>
      </c>
    </row>
    <row r="2" spans="1:6" x14ac:dyDescent="0.35">
      <c r="A2" s="50" t="str" cm="1">
        <f t="array" ref="A2:A151">Lighting!AA7:AA156</f>
        <v/>
      </c>
    </row>
    <row r="3" spans="1:6" x14ac:dyDescent="0.35">
      <c r="A3" s="50" t="str">
        <v/>
      </c>
    </row>
    <row r="4" spans="1:6" x14ac:dyDescent="0.35">
      <c r="A4" s="50" t="str">
        <v/>
      </c>
    </row>
    <row r="5" spans="1:6" x14ac:dyDescent="0.35">
      <c r="A5" s="50" t="str">
        <v/>
      </c>
    </row>
    <row r="6" spans="1:6" x14ac:dyDescent="0.35">
      <c r="A6" s="50" t="str">
        <v/>
      </c>
    </row>
    <row r="7" spans="1:6" x14ac:dyDescent="0.35">
      <c r="A7" s="50" t="str">
        <v/>
      </c>
    </row>
    <row r="8" spans="1:6" x14ac:dyDescent="0.35">
      <c r="A8" s="50" t="str">
        <v/>
      </c>
    </row>
    <row r="9" spans="1:6" x14ac:dyDescent="0.35">
      <c r="A9" s="50" t="str">
        <v/>
      </c>
    </row>
    <row r="10" spans="1:6" x14ac:dyDescent="0.35">
      <c r="A10" s="50" t="str">
        <v/>
      </c>
    </row>
    <row r="11" spans="1:6" x14ac:dyDescent="0.35">
      <c r="A11" s="50" t="str">
        <v/>
      </c>
    </row>
    <row r="12" spans="1:6" x14ac:dyDescent="0.35">
      <c r="A12" s="50" t="str">
        <v/>
      </c>
    </row>
    <row r="13" spans="1:6" x14ac:dyDescent="0.35">
      <c r="A13" s="50" t="str">
        <v/>
      </c>
    </row>
    <row r="14" spans="1:6" x14ac:dyDescent="0.35">
      <c r="A14" s="50" t="str">
        <v/>
      </c>
    </row>
    <row r="15" spans="1:6" x14ac:dyDescent="0.35">
      <c r="A15" s="50" t="str">
        <v/>
      </c>
    </row>
    <row r="16" spans="1:6" x14ac:dyDescent="0.35">
      <c r="A16" s="50" t="str">
        <v/>
      </c>
    </row>
    <row r="17" spans="1:1" x14ac:dyDescent="0.35">
      <c r="A17" s="50" t="str">
        <v/>
      </c>
    </row>
    <row r="18" spans="1:1" x14ac:dyDescent="0.35">
      <c r="A18" s="50" t="str">
        <v/>
      </c>
    </row>
    <row r="19" spans="1:1" x14ac:dyDescent="0.35">
      <c r="A19" s="50" t="str">
        <v/>
      </c>
    </row>
    <row r="20" spans="1:1" x14ac:dyDescent="0.35">
      <c r="A20" s="50" t="str">
        <v/>
      </c>
    </row>
    <row r="21" spans="1:1" x14ac:dyDescent="0.35">
      <c r="A21" s="50" t="str">
        <v/>
      </c>
    </row>
    <row r="22" spans="1:1" x14ac:dyDescent="0.35">
      <c r="A22" s="50" t="str">
        <v/>
      </c>
    </row>
    <row r="23" spans="1:1" x14ac:dyDescent="0.35">
      <c r="A23" s="50" t="str">
        <v/>
      </c>
    </row>
    <row r="24" spans="1:1" x14ac:dyDescent="0.35">
      <c r="A24" s="50" t="str">
        <v/>
      </c>
    </row>
    <row r="25" spans="1:1" x14ac:dyDescent="0.35">
      <c r="A25" s="50" t="str">
        <v/>
      </c>
    </row>
    <row r="26" spans="1:1" x14ac:dyDescent="0.35">
      <c r="A26" s="50" t="str">
        <v/>
      </c>
    </row>
    <row r="27" spans="1:1" x14ac:dyDescent="0.35">
      <c r="A27" s="50" t="str">
        <v/>
      </c>
    </row>
    <row r="28" spans="1:1" x14ac:dyDescent="0.35">
      <c r="A28" s="50" t="str">
        <v/>
      </c>
    </row>
    <row r="29" spans="1:1" x14ac:dyDescent="0.35">
      <c r="A29" s="50" t="str">
        <v/>
      </c>
    </row>
    <row r="30" spans="1:1" x14ac:dyDescent="0.35">
      <c r="A30" s="50" t="str">
        <v/>
      </c>
    </row>
    <row r="31" spans="1:1" x14ac:dyDescent="0.35">
      <c r="A31" s="50" t="str">
        <v/>
      </c>
    </row>
    <row r="32" spans="1:1" x14ac:dyDescent="0.35">
      <c r="A32" s="50" t="str">
        <v/>
      </c>
    </row>
    <row r="33" spans="1:1" x14ac:dyDescent="0.35">
      <c r="A33" s="50" t="str">
        <v/>
      </c>
    </row>
    <row r="34" spans="1:1" x14ac:dyDescent="0.35">
      <c r="A34" s="50" t="str">
        <v/>
      </c>
    </row>
    <row r="35" spans="1:1" x14ac:dyDescent="0.35">
      <c r="A35" s="50" t="str">
        <v/>
      </c>
    </row>
    <row r="36" spans="1:1" x14ac:dyDescent="0.35">
      <c r="A36" s="50" t="str">
        <v/>
      </c>
    </row>
    <row r="37" spans="1:1" x14ac:dyDescent="0.35">
      <c r="A37" s="50" t="str">
        <v/>
      </c>
    </row>
    <row r="38" spans="1:1" x14ac:dyDescent="0.35">
      <c r="A38" s="50" t="str">
        <v/>
      </c>
    </row>
    <row r="39" spans="1:1" x14ac:dyDescent="0.35">
      <c r="A39" s="50" t="str">
        <v/>
      </c>
    </row>
    <row r="40" spans="1:1" x14ac:dyDescent="0.35">
      <c r="A40" s="50" t="str">
        <v/>
      </c>
    </row>
    <row r="41" spans="1:1" x14ac:dyDescent="0.35">
      <c r="A41" s="50" t="str">
        <v/>
      </c>
    </row>
    <row r="42" spans="1:1" x14ac:dyDescent="0.35">
      <c r="A42" s="50" t="str">
        <v/>
      </c>
    </row>
    <row r="43" spans="1:1" x14ac:dyDescent="0.35">
      <c r="A43" s="50" t="str">
        <v/>
      </c>
    </row>
    <row r="44" spans="1:1" x14ac:dyDescent="0.35">
      <c r="A44" s="50" t="str">
        <v/>
      </c>
    </row>
    <row r="45" spans="1:1" x14ac:dyDescent="0.35">
      <c r="A45" s="50" t="str">
        <v/>
      </c>
    </row>
    <row r="46" spans="1:1" x14ac:dyDescent="0.35">
      <c r="A46" s="50" t="str">
        <v/>
      </c>
    </row>
    <row r="47" spans="1:1" x14ac:dyDescent="0.35">
      <c r="A47" s="50" t="str">
        <v/>
      </c>
    </row>
    <row r="48" spans="1:1" x14ac:dyDescent="0.35">
      <c r="A48" s="50" t="str">
        <v/>
      </c>
    </row>
    <row r="49" spans="1:1" x14ac:dyDescent="0.35">
      <c r="A49" s="50" t="str">
        <v/>
      </c>
    </row>
    <row r="50" spans="1:1" x14ac:dyDescent="0.35">
      <c r="A50" s="50" t="str">
        <v/>
      </c>
    </row>
    <row r="51" spans="1:1" x14ac:dyDescent="0.35">
      <c r="A51" s="50" t="str">
        <v/>
      </c>
    </row>
    <row r="52" spans="1:1" x14ac:dyDescent="0.35">
      <c r="A52" s="50" t="str">
        <v/>
      </c>
    </row>
    <row r="53" spans="1:1" x14ac:dyDescent="0.35">
      <c r="A53" s="50" t="str">
        <v/>
      </c>
    </row>
    <row r="54" spans="1:1" x14ac:dyDescent="0.35">
      <c r="A54" s="50" t="str">
        <v/>
      </c>
    </row>
    <row r="55" spans="1:1" x14ac:dyDescent="0.35">
      <c r="A55" s="50" t="str">
        <v/>
      </c>
    </row>
    <row r="56" spans="1:1" x14ac:dyDescent="0.35">
      <c r="A56" s="50" t="str">
        <v/>
      </c>
    </row>
    <row r="57" spans="1:1" x14ac:dyDescent="0.35">
      <c r="A57" s="50" t="str">
        <v/>
      </c>
    </row>
    <row r="58" spans="1:1" x14ac:dyDescent="0.35">
      <c r="A58" s="50" t="str">
        <v/>
      </c>
    </row>
    <row r="59" spans="1:1" x14ac:dyDescent="0.35">
      <c r="A59" s="50" t="str">
        <v/>
      </c>
    </row>
    <row r="60" spans="1:1" x14ac:dyDescent="0.35">
      <c r="A60" s="50" t="str">
        <v/>
      </c>
    </row>
    <row r="61" spans="1:1" x14ac:dyDescent="0.35">
      <c r="A61" s="50" t="str">
        <v/>
      </c>
    </row>
    <row r="62" spans="1:1" x14ac:dyDescent="0.35">
      <c r="A62" s="50" t="str">
        <v/>
      </c>
    </row>
    <row r="63" spans="1:1" x14ac:dyDescent="0.35">
      <c r="A63" s="50" t="str">
        <v/>
      </c>
    </row>
    <row r="64" spans="1:1" x14ac:dyDescent="0.35">
      <c r="A64" s="50" t="str">
        <v/>
      </c>
    </row>
    <row r="65" spans="1:1" x14ac:dyDescent="0.35">
      <c r="A65" s="50" t="str">
        <v/>
      </c>
    </row>
    <row r="66" spans="1:1" x14ac:dyDescent="0.35">
      <c r="A66" s="50" t="str">
        <v/>
      </c>
    </row>
    <row r="67" spans="1:1" x14ac:dyDescent="0.35">
      <c r="A67" s="50" t="str">
        <v/>
      </c>
    </row>
    <row r="68" spans="1:1" x14ac:dyDescent="0.35">
      <c r="A68" s="50" t="str">
        <v/>
      </c>
    </row>
    <row r="69" spans="1:1" x14ac:dyDescent="0.35">
      <c r="A69" s="50" t="str">
        <v/>
      </c>
    </row>
    <row r="70" spans="1:1" x14ac:dyDescent="0.35">
      <c r="A70" s="50" t="str">
        <v/>
      </c>
    </row>
    <row r="71" spans="1:1" x14ac:dyDescent="0.35">
      <c r="A71" s="50" t="str">
        <v/>
      </c>
    </row>
    <row r="72" spans="1:1" x14ac:dyDescent="0.35">
      <c r="A72" s="50" t="str">
        <v/>
      </c>
    </row>
    <row r="73" spans="1:1" x14ac:dyDescent="0.35">
      <c r="A73" s="50" t="str">
        <v/>
      </c>
    </row>
    <row r="74" spans="1:1" x14ac:dyDescent="0.35">
      <c r="A74" s="50" t="str">
        <v/>
      </c>
    </row>
    <row r="75" spans="1:1" x14ac:dyDescent="0.35">
      <c r="A75" s="50" t="str">
        <v/>
      </c>
    </row>
    <row r="76" spans="1:1" x14ac:dyDescent="0.35">
      <c r="A76" s="50" t="str">
        <v/>
      </c>
    </row>
    <row r="77" spans="1:1" x14ac:dyDescent="0.35">
      <c r="A77" s="50" t="str">
        <v/>
      </c>
    </row>
    <row r="78" spans="1:1" x14ac:dyDescent="0.35">
      <c r="A78" s="50" t="str">
        <v/>
      </c>
    </row>
    <row r="79" spans="1:1" x14ac:dyDescent="0.35">
      <c r="A79" s="50" t="str">
        <v/>
      </c>
    </row>
    <row r="80" spans="1:1" x14ac:dyDescent="0.35">
      <c r="A80" s="50" t="str">
        <v/>
      </c>
    </row>
    <row r="81" spans="1:1" x14ac:dyDescent="0.35">
      <c r="A81" s="50" t="str">
        <v/>
      </c>
    </row>
    <row r="82" spans="1:1" x14ac:dyDescent="0.35">
      <c r="A82" s="50" t="str">
        <v/>
      </c>
    </row>
    <row r="83" spans="1:1" x14ac:dyDescent="0.35">
      <c r="A83" s="50" t="str">
        <v/>
      </c>
    </row>
    <row r="84" spans="1:1" x14ac:dyDescent="0.35">
      <c r="A84" s="50" t="str">
        <v/>
      </c>
    </row>
    <row r="85" spans="1:1" x14ac:dyDescent="0.35">
      <c r="A85" s="50" t="str">
        <v/>
      </c>
    </row>
    <row r="86" spans="1:1" x14ac:dyDescent="0.35">
      <c r="A86" s="50" t="str">
        <v/>
      </c>
    </row>
    <row r="87" spans="1:1" x14ac:dyDescent="0.35">
      <c r="A87" s="50" t="str">
        <v/>
      </c>
    </row>
    <row r="88" spans="1:1" x14ac:dyDescent="0.35">
      <c r="A88" s="50" t="str">
        <v/>
      </c>
    </row>
    <row r="89" spans="1:1" x14ac:dyDescent="0.35">
      <c r="A89" s="50" t="str">
        <v/>
      </c>
    </row>
    <row r="90" spans="1:1" x14ac:dyDescent="0.35">
      <c r="A90" s="50" t="str">
        <v/>
      </c>
    </row>
    <row r="91" spans="1:1" x14ac:dyDescent="0.35">
      <c r="A91" s="50" t="str">
        <v/>
      </c>
    </row>
    <row r="92" spans="1:1" x14ac:dyDescent="0.35">
      <c r="A92" s="50" t="str">
        <v/>
      </c>
    </row>
    <row r="93" spans="1:1" x14ac:dyDescent="0.35">
      <c r="A93" s="50" t="str">
        <v/>
      </c>
    </row>
    <row r="94" spans="1:1" x14ac:dyDescent="0.35">
      <c r="A94" s="50" t="str">
        <v/>
      </c>
    </row>
    <row r="95" spans="1:1" x14ac:dyDescent="0.35">
      <c r="A95" s="50" t="str">
        <v/>
      </c>
    </row>
    <row r="96" spans="1:1" x14ac:dyDescent="0.35">
      <c r="A96" s="567" t="str">
        <v/>
      </c>
    </row>
    <row r="97" spans="1:1" x14ac:dyDescent="0.35">
      <c r="A97" s="567" t="str">
        <v/>
      </c>
    </row>
    <row r="98" spans="1:1" x14ac:dyDescent="0.35">
      <c r="A98" s="567" t="str">
        <v/>
      </c>
    </row>
    <row r="99" spans="1:1" x14ac:dyDescent="0.35">
      <c r="A99" s="567" t="str">
        <v/>
      </c>
    </row>
    <row r="100" spans="1:1" x14ac:dyDescent="0.35">
      <c r="A100" s="567" t="str">
        <v/>
      </c>
    </row>
    <row r="101" spans="1:1" x14ac:dyDescent="0.35">
      <c r="A101" s="567" t="str">
        <v/>
      </c>
    </row>
    <row r="102" spans="1:1" x14ac:dyDescent="0.35">
      <c r="A102" s="567" t="str">
        <v/>
      </c>
    </row>
    <row r="103" spans="1:1" x14ac:dyDescent="0.35">
      <c r="A103" s="50" t="str">
        <v/>
      </c>
    </row>
    <row r="104" spans="1:1" x14ac:dyDescent="0.35">
      <c r="A104" s="50" t="str">
        <v/>
      </c>
    </row>
    <row r="105" spans="1:1" x14ac:dyDescent="0.35">
      <c r="A105" s="50" t="str">
        <v/>
      </c>
    </row>
    <row r="106" spans="1:1" x14ac:dyDescent="0.35">
      <c r="A106" s="50" t="str">
        <v/>
      </c>
    </row>
    <row r="107" spans="1:1" x14ac:dyDescent="0.35">
      <c r="A107" s="50" t="str">
        <v/>
      </c>
    </row>
    <row r="108" spans="1:1" x14ac:dyDescent="0.35">
      <c r="A108" s="50" t="str">
        <v/>
      </c>
    </row>
    <row r="109" spans="1:1" x14ac:dyDescent="0.35">
      <c r="A109" s="50" t="str">
        <v/>
      </c>
    </row>
    <row r="110" spans="1:1" x14ac:dyDescent="0.35">
      <c r="A110" s="50" t="str">
        <v/>
      </c>
    </row>
    <row r="111" spans="1:1" x14ac:dyDescent="0.35">
      <c r="A111" s="50" t="str">
        <v/>
      </c>
    </row>
    <row r="112" spans="1:1" x14ac:dyDescent="0.35">
      <c r="A112" s="50" t="str">
        <v/>
      </c>
    </row>
    <row r="113" spans="1:1" x14ac:dyDescent="0.35">
      <c r="A113" s="50" t="str">
        <v/>
      </c>
    </row>
    <row r="114" spans="1:1" x14ac:dyDescent="0.35">
      <c r="A114" s="50" t="str">
        <v/>
      </c>
    </row>
    <row r="115" spans="1:1" x14ac:dyDescent="0.35">
      <c r="A115" s="50" t="str">
        <v/>
      </c>
    </row>
    <row r="116" spans="1:1" x14ac:dyDescent="0.35">
      <c r="A116" s="50" t="str">
        <v/>
      </c>
    </row>
    <row r="117" spans="1:1" x14ac:dyDescent="0.35">
      <c r="A117" s="50" t="str">
        <v/>
      </c>
    </row>
    <row r="118" spans="1:1" x14ac:dyDescent="0.35">
      <c r="A118" s="50" t="str">
        <v/>
      </c>
    </row>
    <row r="119" spans="1:1" x14ac:dyDescent="0.35">
      <c r="A119" s="50" t="str">
        <v/>
      </c>
    </row>
    <row r="120" spans="1:1" x14ac:dyDescent="0.35">
      <c r="A120" s="50" t="str">
        <v/>
      </c>
    </row>
    <row r="121" spans="1:1" x14ac:dyDescent="0.35">
      <c r="A121" s="50" t="str">
        <v/>
      </c>
    </row>
    <row r="122" spans="1:1" x14ac:dyDescent="0.35">
      <c r="A122" s="50" t="str">
        <v/>
      </c>
    </row>
    <row r="123" spans="1:1" x14ac:dyDescent="0.35">
      <c r="A123" s="50" t="str">
        <v/>
      </c>
    </row>
    <row r="124" spans="1:1" x14ac:dyDescent="0.35">
      <c r="A124" s="50" t="str">
        <v/>
      </c>
    </row>
    <row r="125" spans="1:1" x14ac:dyDescent="0.35">
      <c r="A125" s="50" t="str">
        <v/>
      </c>
    </row>
    <row r="126" spans="1:1" x14ac:dyDescent="0.35">
      <c r="A126" s="50" t="str">
        <v/>
      </c>
    </row>
    <row r="127" spans="1:1" x14ac:dyDescent="0.35">
      <c r="A127" s="50" t="str">
        <v/>
      </c>
    </row>
    <row r="128" spans="1:1" x14ac:dyDescent="0.35">
      <c r="A128" s="50" t="str">
        <v/>
      </c>
    </row>
    <row r="129" spans="1:1" x14ac:dyDescent="0.35">
      <c r="A129" s="50" t="str">
        <v/>
      </c>
    </row>
    <row r="130" spans="1:1" x14ac:dyDescent="0.35">
      <c r="A130" s="50" t="str">
        <v/>
      </c>
    </row>
    <row r="131" spans="1:1" x14ac:dyDescent="0.35">
      <c r="A131" s="50" t="str">
        <v/>
      </c>
    </row>
    <row r="132" spans="1:1" x14ac:dyDescent="0.35">
      <c r="A132" s="50" t="str">
        <v/>
      </c>
    </row>
    <row r="133" spans="1:1" x14ac:dyDescent="0.35">
      <c r="A133" s="50" t="str">
        <v/>
      </c>
    </row>
    <row r="134" spans="1:1" x14ac:dyDescent="0.35">
      <c r="A134" s="50" t="str">
        <v/>
      </c>
    </row>
    <row r="135" spans="1:1" x14ac:dyDescent="0.35">
      <c r="A135" s="50" t="str">
        <v/>
      </c>
    </row>
    <row r="136" spans="1:1" x14ac:dyDescent="0.35">
      <c r="A136" s="50" t="str">
        <v/>
      </c>
    </row>
    <row r="137" spans="1:1" x14ac:dyDescent="0.35">
      <c r="A137" s="50" t="str">
        <v/>
      </c>
    </row>
    <row r="138" spans="1:1" x14ac:dyDescent="0.35">
      <c r="A138" s="50" t="str">
        <v/>
      </c>
    </row>
    <row r="139" spans="1:1" x14ac:dyDescent="0.35">
      <c r="A139" s="50" t="str">
        <v/>
      </c>
    </row>
    <row r="140" spans="1:1" x14ac:dyDescent="0.35">
      <c r="A140" s="50" t="str">
        <v/>
      </c>
    </row>
    <row r="141" spans="1:1" x14ac:dyDescent="0.35">
      <c r="A141" s="50" t="str">
        <v/>
      </c>
    </row>
    <row r="142" spans="1:1" x14ac:dyDescent="0.35">
      <c r="A142" s="50" t="str">
        <v/>
      </c>
    </row>
    <row r="143" spans="1:1" x14ac:dyDescent="0.35">
      <c r="A143" s="50" t="str">
        <v/>
      </c>
    </row>
    <row r="144" spans="1:1" x14ac:dyDescent="0.35">
      <c r="A144" s="50" t="str">
        <v/>
      </c>
    </row>
    <row r="145" spans="1:1" x14ac:dyDescent="0.35">
      <c r="A145" s="50" t="str">
        <v/>
      </c>
    </row>
    <row r="146" spans="1:1" x14ac:dyDescent="0.35">
      <c r="A146" s="50" t="str">
        <v/>
      </c>
    </row>
    <row r="147" spans="1:1" x14ac:dyDescent="0.35">
      <c r="A147" s="50" t="str">
        <v/>
      </c>
    </row>
    <row r="148" spans="1:1" x14ac:dyDescent="0.35">
      <c r="A148" s="50" t="str">
        <v/>
      </c>
    </row>
    <row r="149" spans="1:1" x14ac:dyDescent="0.35">
      <c r="A149" s="50" t="str">
        <v/>
      </c>
    </row>
    <row r="150" spans="1:1" x14ac:dyDescent="0.35">
      <c r="A150" s="50" t="str">
        <v/>
      </c>
    </row>
    <row r="151" spans="1:1" x14ac:dyDescent="0.35">
      <c r="A151" s="50" t="str">
        <v/>
      </c>
    </row>
    <row r="152" spans="1:1" x14ac:dyDescent="0.35">
      <c r="A152" s="51" t="str" cm="1">
        <f t="array" ref="A152:A201">NLTable[Concatenate]</f>
        <v/>
      </c>
    </row>
    <row r="153" spans="1:1" x14ac:dyDescent="0.35">
      <c r="A153" s="52" t="str">
        <v/>
      </c>
    </row>
    <row r="154" spans="1:1" x14ac:dyDescent="0.35">
      <c r="A154" s="52" t="str">
        <v/>
      </c>
    </row>
    <row r="155" spans="1:1" x14ac:dyDescent="0.35">
      <c r="A155" s="52" t="str">
        <v/>
      </c>
    </row>
    <row r="156" spans="1:1" x14ac:dyDescent="0.35">
      <c r="A156" s="52" t="str">
        <v/>
      </c>
    </row>
    <row r="157" spans="1:1" x14ac:dyDescent="0.35">
      <c r="A157" s="52" t="str">
        <v/>
      </c>
    </row>
    <row r="158" spans="1:1" x14ac:dyDescent="0.35">
      <c r="A158" s="52" t="str">
        <v/>
      </c>
    </row>
    <row r="159" spans="1:1" x14ac:dyDescent="0.35">
      <c r="A159" s="52" t="str">
        <v/>
      </c>
    </row>
    <row r="160" spans="1:1" x14ac:dyDescent="0.35">
      <c r="A160" s="52" t="str">
        <v/>
      </c>
    </row>
    <row r="161" spans="1:1" x14ac:dyDescent="0.35">
      <c r="A161" s="52" t="str">
        <v/>
      </c>
    </row>
    <row r="162" spans="1:1" x14ac:dyDescent="0.35">
      <c r="A162" s="52" t="str">
        <v/>
      </c>
    </row>
    <row r="163" spans="1:1" x14ac:dyDescent="0.35">
      <c r="A163" s="52" t="str">
        <v/>
      </c>
    </row>
    <row r="164" spans="1:1" x14ac:dyDescent="0.35">
      <c r="A164" s="52" t="str">
        <v/>
      </c>
    </row>
    <row r="165" spans="1:1" x14ac:dyDescent="0.35">
      <c r="A165" s="52" t="str">
        <v/>
      </c>
    </row>
    <row r="166" spans="1:1" x14ac:dyDescent="0.35">
      <c r="A166" s="52" t="str">
        <v/>
      </c>
    </row>
    <row r="167" spans="1:1" x14ac:dyDescent="0.35">
      <c r="A167" s="52" t="str">
        <v/>
      </c>
    </row>
    <row r="168" spans="1:1" x14ac:dyDescent="0.35">
      <c r="A168" s="52" t="str">
        <v/>
      </c>
    </row>
    <row r="169" spans="1:1" x14ac:dyDescent="0.35">
      <c r="A169" s="52" t="str">
        <v/>
      </c>
    </row>
    <row r="170" spans="1:1" x14ac:dyDescent="0.35">
      <c r="A170" s="52" t="str">
        <v/>
      </c>
    </row>
    <row r="171" spans="1:1" x14ac:dyDescent="0.35">
      <c r="A171" s="52" t="str">
        <v/>
      </c>
    </row>
    <row r="172" spans="1:1" x14ac:dyDescent="0.35">
      <c r="A172" s="52" t="str">
        <v/>
      </c>
    </row>
    <row r="173" spans="1:1" x14ac:dyDescent="0.35">
      <c r="A173" s="52" t="str">
        <v/>
      </c>
    </row>
    <row r="174" spans="1:1" x14ac:dyDescent="0.35">
      <c r="A174" s="52" t="str">
        <v/>
      </c>
    </row>
    <row r="175" spans="1:1" x14ac:dyDescent="0.35">
      <c r="A175" s="52" t="str">
        <v/>
      </c>
    </row>
    <row r="176" spans="1:1" x14ac:dyDescent="0.35">
      <c r="A176" s="52" t="str">
        <v/>
      </c>
    </row>
    <row r="177" spans="1:1" x14ac:dyDescent="0.35">
      <c r="A177" s="52" t="str">
        <v/>
      </c>
    </row>
    <row r="178" spans="1:1" x14ac:dyDescent="0.35">
      <c r="A178" s="52" t="str">
        <v/>
      </c>
    </row>
    <row r="179" spans="1:1" x14ac:dyDescent="0.35">
      <c r="A179" s="52" t="str">
        <v/>
      </c>
    </row>
    <row r="180" spans="1:1" x14ac:dyDescent="0.35">
      <c r="A180" s="52" t="str">
        <v/>
      </c>
    </row>
    <row r="181" spans="1:1" x14ac:dyDescent="0.35">
      <c r="A181" s="52" t="str">
        <v/>
      </c>
    </row>
    <row r="182" spans="1:1" x14ac:dyDescent="0.35">
      <c r="A182" s="52" t="str">
        <v/>
      </c>
    </row>
    <row r="183" spans="1:1" x14ac:dyDescent="0.35">
      <c r="A183" s="52" t="str">
        <v/>
      </c>
    </row>
    <row r="184" spans="1:1" x14ac:dyDescent="0.35">
      <c r="A184" s="52" t="str">
        <v/>
      </c>
    </row>
    <row r="185" spans="1:1" x14ac:dyDescent="0.35">
      <c r="A185" s="52" t="str">
        <v/>
      </c>
    </row>
    <row r="186" spans="1:1" x14ac:dyDescent="0.35">
      <c r="A186" s="52" t="str">
        <v/>
      </c>
    </row>
    <row r="187" spans="1:1" x14ac:dyDescent="0.35">
      <c r="A187" s="52" t="str">
        <v/>
      </c>
    </row>
    <row r="188" spans="1:1" x14ac:dyDescent="0.35">
      <c r="A188" s="52" t="str">
        <v/>
      </c>
    </row>
    <row r="189" spans="1:1" x14ac:dyDescent="0.35">
      <c r="A189" s="52" t="str">
        <v/>
      </c>
    </row>
    <row r="190" spans="1:1" x14ac:dyDescent="0.35">
      <c r="A190" s="52" t="str">
        <v/>
      </c>
    </row>
    <row r="191" spans="1:1" x14ac:dyDescent="0.35">
      <c r="A191" s="52" t="str">
        <v/>
      </c>
    </row>
    <row r="192" spans="1:1" x14ac:dyDescent="0.35">
      <c r="A192" t="str">
        <v/>
      </c>
    </row>
    <row r="193" spans="1:1" x14ac:dyDescent="0.35">
      <c r="A193" t="str">
        <v/>
      </c>
    </row>
    <row r="194" spans="1:1" x14ac:dyDescent="0.35">
      <c r="A194" t="str">
        <v/>
      </c>
    </row>
    <row r="195" spans="1:1" x14ac:dyDescent="0.35">
      <c r="A195" t="str">
        <v/>
      </c>
    </row>
    <row r="196" spans="1:1" x14ac:dyDescent="0.35">
      <c r="A196" t="str">
        <v/>
      </c>
    </row>
    <row r="197" spans="1:1" x14ac:dyDescent="0.35">
      <c r="A197" t="str">
        <v/>
      </c>
    </row>
    <row r="198" spans="1:1" x14ac:dyDescent="0.35">
      <c r="A198" t="str">
        <v/>
      </c>
    </row>
    <row r="199" spans="1:1" x14ac:dyDescent="0.35">
      <c r="A199" t="str">
        <v/>
      </c>
    </row>
    <row r="200" spans="1:1" x14ac:dyDescent="0.35">
      <c r="A200" t="str">
        <v/>
      </c>
    </row>
    <row r="201" spans="1:1" x14ac:dyDescent="0.35">
      <c r="A201" t="str">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DB2C-139A-43F3-9B44-01735D5740D3}">
  <sheetPr>
    <tabColor rgb="FFFF0000"/>
    <pageSetUpPr fitToPage="1"/>
  </sheetPr>
  <dimension ref="A1:D23"/>
  <sheetViews>
    <sheetView showGridLines="0" view="pageBreakPreview" zoomScale="130" zoomScaleNormal="100" zoomScaleSheetLayoutView="130" workbookViewId="0">
      <selection activeCell="D6" sqref="D6"/>
    </sheetView>
  </sheetViews>
  <sheetFormatPr defaultColWidth="8.81640625" defaultRowHeight="13" x14ac:dyDescent="0.35"/>
  <cols>
    <col min="1" max="2" width="19.453125" style="550" customWidth="1"/>
    <col min="3" max="4" width="39.54296875" style="550" customWidth="1"/>
    <col min="5" max="5" width="38.81640625" style="550" customWidth="1"/>
    <col min="6" max="16384" width="8.81640625" style="550"/>
  </cols>
  <sheetData>
    <row r="1" spans="1:4" ht="14.5" x14ac:dyDescent="0.35">
      <c r="A1" s="818" t="s">
        <v>713</v>
      </c>
      <c r="B1" s="819"/>
      <c r="C1" s="819"/>
      <c r="D1" s="820"/>
    </row>
    <row r="2" spans="1:4" x14ac:dyDescent="0.35">
      <c r="A2" s="551" t="s">
        <v>714</v>
      </c>
      <c r="B2" s="551" t="s">
        <v>715</v>
      </c>
      <c r="C2" s="551" t="s">
        <v>716</v>
      </c>
      <c r="D2" s="551" t="s">
        <v>717</v>
      </c>
    </row>
    <row r="3" spans="1:4" ht="14.5" x14ac:dyDescent="0.35">
      <c r="A3" s="552" t="s">
        <v>718</v>
      </c>
      <c r="B3" s="552" t="s">
        <v>719</v>
      </c>
      <c r="C3" s="552" t="s">
        <v>720</v>
      </c>
      <c r="D3" s="552" t="s">
        <v>721</v>
      </c>
    </row>
    <row r="4" spans="1:4" ht="39" x14ac:dyDescent="0.35">
      <c r="A4" s="551" t="s">
        <v>722</v>
      </c>
      <c r="B4" s="566">
        <v>45548</v>
      </c>
      <c r="C4" s="551" t="s">
        <v>771</v>
      </c>
      <c r="D4" s="551" t="s">
        <v>727</v>
      </c>
    </row>
    <row r="5" spans="1:4" ht="156" x14ac:dyDescent="0.3">
      <c r="A5" s="553" t="s">
        <v>817</v>
      </c>
      <c r="B5" s="611">
        <v>45566</v>
      </c>
      <c r="C5" s="612" t="s">
        <v>819</v>
      </c>
      <c r="D5" s="553" t="s">
        <v>818</v>
      </c>
    </row>
    <row r="6" spans="1:4" ht="143" x14ac:dyDescent="0.3">
      <c r="A6" s="553" t="s">
        <v>835</v>
      </c>
      <c r="B6" s="611">
        <v>45621</v>
      </c>
      <c r="C6" s="612" t="s">
        <v>836</v>
      </c>
      <c r="D6" s="553" t="s">
        <v>818</v>
      </c>
    </row>
    <row r="7" spans="1:4" x14ac:dyDescent="0.3">
      <c r="A7" s="553"/>
      <c r="B7" s="553"/>
      <c r="C7" s="553"/>
      <c r="D7" s="553"/>
    </row>
    <row r="8" spans="1:4" x14ac:dyDescent="0.3">
      <c r="A8" s="553"/>
      <c r="B8" s="553"/>
      <c r="C8" s="553"/>
      <c r="D8" s="553"/>
    </row>
    <row r="9" spans="1:4" x14ac:dyDescent="0.3">
      <c r="A9" s="553"/>
      <c r="B9" s="553"/>
      <c r="C9" s="553"/>
      <c r="D9" s="553"/>
    </row>
    <row r="10" spans="1:4" x14ac:dyDescent="0.3">
      <c r="A10" s="553"/>
      <c r="B10" s="553"/>
      <c r="C10" s="553"/>
      <c r="D10" s="553"/>
    </row>
    <row r="11" spans="1:4" x14ac:dyDescent="0.3">
      <c r="A11" s="553"/>
      <c r="B11" s="553"/>
      <c r="C11" s="553"/>
      <c r="D11" s="553"/>
    </row>
    <row r="12" spans="1:4" x14ac:dyDescent="0.3">
      <c r="A12" s="553"/>
      <c r="B12" s="553"/>
      <c r="C12" s="553"/>
      <c r="D12" s="553"/>
    </row>
    <row r="13" spans="1:4" x14ac:dyDescent="0.3">
      <c r="A13" s="553"/>
      <c r="B13" s="553"/>
      <c r="C13" s="553"/>
      <c r="D13" s="553"/>
    </row>
    <row r="14" spans="1:4" x14ac:dyDescent="0.3">
      <c r="A14" s="553"/>
      <c r="B14" s="553"/>
      <c r="C14" s="553"/>
      <c r="D14" s="553"/>
    </row>
    <row r="15" spans="1:4" x14ac:dyDescent="0.3">
      <c r="A15" s="553"/>
      <c r="B15" s="553"/>
      <c r="C15" s="553"/>
      <c r="D15" s="553"/>
    </row>
    <row r="16" spans="1:4" x14ac:dyDescent="0.3">
      <c r="A16" s="553"/>
      <c r="B16" s="553"/>
      <c r="C16" s="553"/>
      <c r="D16" s="553"/>
    </row>
    <row r="17" spans="1:4" x14ac:dyDescent="0.3">
      <c r="A17" s="553"/>
      <c r="B17" s="553"/>
      <c r="C17" s="553"/>
      <c r="D17" s="553"/>
    </row>
    <row r="18" spans="1:4" x14ac:dyDescent="0.3">
      <c r="A18" s="553"/>
      <c r="B18" s="553"/>
      <c r="C18" s="553"/>
      <c r="D18" s="553"/>
    </row>
    <row r="19" spans="1:4" x14ac:dyDescent="0.3">
      <c r="A19" s="553"/>
      <c r="B19" s="553"/>
      <c r="C19" s="553"/>
      <c r="D19" s="553"/>
    </row>
    <row r="20" spans="1:4" ht="14.5" x14ac:dyDescent="0.35">
      <c r="A20" s="818" t="s">
        <v>723</v>
      </c>
      <c r="B20" s="819"/>
      <c r="C20" s="819"/>
      <c r="D20" s="820"/>
    </row>
    <row r="21" spans="1:4" ht="22.4" customHeight="1" x14ac:dyDescent="0.35">
      <c r="A21" s="821" t="s">
        <v>724</v>
      </c>
      <c r="B21" s="822"/>
      <c r="C21" s="822"/>
      <c r="D21" s="823"/>
    </row>
    <row r="22" spans="1:4" ht="40.75" customHeight="1" x14ac:dyDescent="0.35">
      <c r="A22" s="824" t="s">
        <v>726</v>
      </c>
      <c r="B22" s="825"/>
      <c r="C22" s="554" t="s">
        <v>728</v>
      </c>
      <c r="D22" s="555" t="s">
        <v>725</v>
      </c>
    </row>
    <row r="23" spans="1:4" ht="147.65" customHeight="1" x14ac:dyDescent="0.35">
      <c r="A23" s="826"/>
      <c r="B23" s="827"/>
      <c r="C23" s="556"/>
      <c r="D23" s="557"/>
    </row>
  </sheetData>
  <mergeCells count="5">
    <mergeCell ref="A1:D1"/>
    <mergeCell ref="A20:D20"/>
    <mergeCell ref="A21:D21"/>
    <mergeCell ref="A22:B22"/>
    <mergeCell ref="A23:B23"/>
  </mergeCells>
  <pageMargins left="0.7" right="0.7" top="0.75" bottom="0.75" header="0.3" footer="0.3"/>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9A45561630ED46A24B21A451EA0CF7" ma:contentTypeVersion="3" ma:contentTypeDescription="Create a new document." ma:contentTypeScope="" ma:versionID="5aab38cac2f2729298e4c382177b864b">
  <xsd:schema xmlns:xsd="http://www.w3.org/2001/XMLSchema" xmlns:xs="http://www.w3.org/2001/XMLSchema" xmlns:p="http://schemas.microsoft.com/office/2006/metadata/properties" xmlns:ns2="cd10eb17-e2df-4102-957b-8c44ca4acc7c" xmlns:ns4="http://schemas.microsoft.com/sharepoint/v4" targetNamespace="http://schemas.microsoft.com/office/2006/metadata/properties" ma:root="true" ma:fieldsID="078389cfea54de2376a3cc0218edd97b" ns2:_="" ns4:_="">
    <xsd:import namespace="cd10eb17-e2df-4102-957b-8c44ca4acc7c"/>
    <xsd:import namespace="http://schemas.microsoft.com/sharepoint/v4"/>
    <xsd:element name="properties">
      <xsd:complexType>
        <xsd:sequence>
          <xsd:element name="documentManagement">
            <xsd:complexType>
              <xsd:all>
                <xsd:element ref="ns2: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0eb17-e2df-4102-957b-8c44ca4acc7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89635-6CFF-4C9F-8025-8A70E7CBB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0eb17-e2df-4102-957b-8c44ca4acc7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738285-9BAE-48A2-A886-9C0CED0D0855}">
  <ds:schemaRef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d10eb17-e2df-4102-957b-8c44ca4acc7c"/>
    <ds:schemaRef ds:uri="http://www.w3.org/XML/1998/namespace"/>
    <ds:schemaRef ds:uri="http://purl.org/dc/dcmitype/"/>
  </ds:schemaRefs>
</ds:datastoreItem>
</file>

<file path=customXml/itemProps3.xml><?xml version="1.0" encoding="utf-8"?>
<ds:datastoreItem xmlns:ds="http://schemas.openxmlformats.org/officeDocument/2006/customXml" ds:itemID="{CAFB919F-A598-4E67-800C-498C76EED7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Userguide</vt:lpstr>
      <vt:lpstr>Project Info</vt:lpstr>
      <vt:lpstr>Lighting</vt:lpstr>
      <vt:lpstr>Mechanical</vt:lpstr>
      <vt:lpstr>Summary</vt:lpstr>
      <vt:lpstr>Electrical Load Analysis</vt:lpstr>
      <vt:lpstr>Study Review</vt:lpstr>
      <vt:lpstr>Schedule B</vt:lpstr>
      <vt:lpstr>Schedule C</vt:lpstr>
      <vt:lpstr>Notes</vt:lpstr>
      <vt:lpstr>NLVar</vt:lpstr>
      <vt:lpstr>NLIndex</vt:lpstr>
      <vt:lpstr>LIndex</vt:lpstr>
      <vt:lpstr>LVar</vt:lpstr>
      <vt:lpstr>xRM</vt:lpstr>
      <vt:lpstr>Identifier</vt:lpstr>
      <vt:lpstr>Authentication</vt:lpstr>
      <vt:lpstr>ControlOptions</vt:lpstr>
      <vt:lpstr>NLeDemand</vt:lpstr>
      <vt:lpstr>NLeRate</vt:lpstr>
      <vt:lpstr>NLgRate</vt:lpstr>
      <vt:lpstr>NLsDemand</vt:lpstr>
      <vt:lpstr>NLsRate</vt:lpstr>
      <vt:lpstr>Authentication!Print_Area</vt:lpstr>
      <vt:lpstr>'Electrical Load Analysis'!Print_Area</vt:lpstr>
      <vt:lpstr>Lighting!Print_Area</vt:lpstr>
      <vt:lpstr>LIndex!Print_Area</vt:lpstr>
      <vt:lpstr>LVar!Print_Area</vt:lpstr>
      <vt:lpstr>Mechanical!Print_Area</vt:lpstr>
      <vt:lpstr>NLIndex!Print_Area</vt:lpstr>
      <vt:lpstr>NLVar!Print_Area</vt:lpstr>
      <vt:lpstr>Notes!Print_Area</vt:lpstr>
      <vt:lpstr>'Project Info'!Print_Area</vt:lpstr>
      <vt:lpstr>'Schedule C'!Print_Area</vt:lpstr>
      <vt:lpstr>xRM!Print_Area</vt:lpstr>
      <vt:lpstr>RebateCategory</vt:lpstr>
      <vt:lpstr>Spaces</vt:lpstr>
    </vt:vector>
  </TitlesOfParts>
  <Company>BC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MURBRP Rebate Workbook</dc:title>
  <dc:creator>Wai, Alvin</dc:creator>
  <cp:lastModifiedBy>Shen, Johnson</cp:lastModifiedBy>
  <cp:lastPrinted>2024-11-25T18:31:14Z</cp:lastPrinted>
  <dcterms:created xsi:type="dcterms:W3CDTF">2024-06-24T00:00:07Z</dcterms:created>
  <dcterms:modified xsi:type="dcterms:W3CDTF">2024-11-27T18:43:04Z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0x0101008F9A45561630ED46A24B21A451EA0CF7</vt:lpwstr>
  </property>
  <property fmtid="{D5CDD505-2E9C-101B-9397-08002B2CF9AE}" pid="3" name="_dlc_DocIdItemGuid">
    <vt:lpwstr>2186d3fd-a85b-466a-b8db-6fdbcba2c393</vt:lpwstr>
  </property>
  <property fmtid="{D5CDD505-2E9C-101B-9397-08002B2CF9AE}" pid="4" name="TaxKeyword">
    <vt:lpwstr/>
  </property>
  <property fmtid="{D5CDD505-2E9C-101B-9397-08002B2CF9AE}" pid="5" name="TaxCatchAll">
    <vt:lpwstr/>
  </property>
  <property fmtid="{D5CDD505-2E9C-101B-9397-08002B2CF9AE}" pid="6" name="TaxKeywordTaxHTField">
    <vt:lpwstr/>
  </property>
</Properties>
</file>