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24226"/>
  <mc:AlternateContent xmlns:mc="http://schemas.openxmlformats.org/markup-compatibility/2006">
    <mc:Choice Requires="x15">
      <x15ac:absPath xmlns:x15ac="http://schemas.microsoft.com/office/spreadsheetml/2010/11/ac" url="https://bchydro-my.sharepoint.com/personal/johnson_shen_bchydro_com/Documents/Collaboration/F26/MURB Ph1/Updated to remove TWHP/"/>
    </mc:Choice>
  </mc:AlternateContent>
  <xr:revisionPtr revIDLastSave="78" documentId="13_ncr:1_{467C8260-B2AE-4F7F-BFA9-F37FDF769E02}" xr6:coauthVersionLast="47" xr6:coauthVersionMax="47" xr10:uidLastSave="{07445E76-2604-4686-AD8B-E44A19D0A5DE}"/>
  <workbookProtection workbookAlgorithmName="SHA-512" workbookHashValue="x2j1MGqoJ/D4i3WE6ACt1TJyFon1cR4FpoM1NAosiW/Eayc5Vz2R52mHIlZqOR+5IeWxmA2gu5ufx00F5+sskQ==" workbookSaltValue="oAtji8BsuOKXrV/wTJ5Q3Q==" workbookSpinCount="100000" lockStructure="1"/>
  <bookViews>
    <workbookView xWindow="-4640" yWindow="-21710" windowWidth="38620" windowHeight="21100" xr2:uid="{00000000-000D-0000-FFFF-FFFF00000000}"/>
  </bookViews>
  <sheets>
    <sheet name="Instructions" sheetId="14" r:id="rId1"/>
    <sheet name="Basic Info" sheetId="7" r:id="rId2"/>
    <sheet name="Opportunity Register" sheetId="9" r:id="rId3"/>
    <sheet name="End Uses XRM" sheetId="21" state="hidden" r:id="rId4"/>
    <sheet name="Sheet2" sheetId="20" state="hidden" r:id="rId5"/>
    <sheet name="Sheet1" sheetId="19" state="hidden" r:id="rId6"/>
    <sheet name="Dashboard" sheetId="4" state="hidden" r:id="rId7"/>
    <sheet name="Summary" sheetId="10" state="hidden" r:id="rId8"/>
    <sheet name="PivotTables" sheetId="18" state="hidden" r:id="rId9"/>
    <sheet name="Variables" sheetId="2" state="hidden" r:id="rId10"/>
    <sheet name="Prescriptive" sheetId="23" state="hidden" r:id="rId11"/>
    <sheet name="General Service Rates" sheetId="15" state="hidden" r:id="rId12"/>
  </sheets>
  <definedNames>
    <definedName name="_xlnm._FilterDatabase" localSheetId="3" hidden="1">'End Uses XRM'!$A$1:$Q$160</definedName>
    <definedName name="_xlnm._FilterDatabase" localSheetId="7" hidden="1">Summary!#REF!</definedName>
    <definedName name="ApplSector">'Basic Info'!$D$10</definedName>
    <definedName name="Apply_through_EV_Charging_Rebate_Program">Variables!$AF$38:$AF$41</definedName>
    <definedName name="Apply_through_Solar_and_Battery_Rebate_Program">Variables!$AE$38:$AE$41</definedName>
    <definedName name="APS">INDEX(Variables[Audit Scope],1,1):INDEX(Variables[Audit Scope],COUNTA(Variables[Audit Scope]),1)</definedName>
    <definedName name="AuditScope">'Basic Info'!$J$11</definedName>
    <definedName name="BuildingType">INDEX(Variables[Building Type],1,1):INDEX(Variables[Building Type],COUNTA(Variables[Building Type]),1)</definedName>
    <definedName name="ComEndUse">INDEX(Variables[Commercial],1,1):INDEX(Variables[Commercial],COUNTA(Variables[Commercial]),1)</definedName>
    <definedName name="Commercial">Variables!$G$2:$G$16</definedName>
    <definedName name="Demand">Variables!$H$9:$H$11</definedName>
    <definedName name="Demand_Reponse">Variables!$H$9:$H$11</definedName>
    <definedName name="Demand_Response">Variables!$H$9:$H$11</definedName>
    <definedName name="DemandResponse">Variables!$H$9:$H$11</definedName>
    <definedName name="DG">Variables!$H$26</definedName>
    <definedName name="Distributedgeneration">Variables!$H$26</definedName>
    <definedName name="DR">Variables!$H$9:$H$10</definedName>
    <definedName name="EE">Variables!$H$14:$H$18</definedName>
    <definedName name="ENDUSE_DG">'End Uses XRM'!$O$4:$O$6</definedName>
    <definedName name="ENDUSE_DR">'End Uses XRM'!$P$4:$P$5</definedName>
    <definedName name="ENDUSE_EE">'End Uses XRM'!$M$4:$M$13</definedName>
    <definedName name="ENDUSE_LCE">'End Uses XRM'!$N$4:$N$8</definedName>
    <definedName name="Energyefficiency">Variables!$H$14:$H$18</definedName>
    <definedName name="Feasibility_Study_of_Custom_Measure_to_Incentive_Application">Variables!$AD$38:$AD$41</definedName>
    <definedName name="IndEndUses">INDEX(Variables[Industrial],1,1):INDEX(Variables[Industrial],COUNTA(Variables[Industrial]),1)</definedName>
    <definedName name="IndType">'Basic Info'!$D$11</definedName>
    <definedName name="Industrial">Variables!$E$2:$E$20</definedName>
    <definedName name="IndustryType">INDEX(Variables[Industry Type],1,1):INDEX(Variables[Industry Type],COUNTA(Variables[Industry Type]),1)</definedName>
    <definedName name="LCE">Variables!$H$21:$H$23</definedName>
    <definedName name="ListTeamName" localSheetId="11">INDEX(TeamNames,1,1):INDEX(TeamNames,COUNTA(TeamNames),1)</definedName>
    <definedName name="ListTeamName" localSheetId="0">INDEX(TeamNames,1,1):INDEX(TeamNames,COUNTA(TeamNames),1)</definedName>
    <definedName name="ListTeamName">INDEX(TeamNames,1,1):INDEX(TeamNames,COUNTA(TeamNames),1)</definedName>
    <definedName name="Lowcarbonelectrification">Variables!$H$21:$H$23</definedName>
    <definedName name="NextStepsList">INDEX(NextSteps[],0,MATCH('Opportunity Register'!$H1,NextSteps[#Headers],0))</definedName>
    <definedName name="NextStepsSource">OFFSET(NextStepsList,0,0,COUNTA(NextStepsList),1)</definedName>
    <definedName name="NLSource">OFFSET(NLSourceList,0,0,COUNTA(NLSourceList),1)</definedName>
    <definedName name="NLSourceList">INDEX(Prescriptive[],0,MATCH('Opportunity Register'!$E1,Prescriptive[#Headers],0))</definedName>
    <definedName name="Other">Variables!$H$29</definedName>
    <definedName name="PaperEndUses">INDEX(Variables[Paper Produce End Uses],1,1):INDEX(Variables[Paper Produce End Uses],COUNTA(Variables[Paper Produce End Uses]),1)</definedName>
    <definedName name="Prescriptive_Workbook_to_Incentive_Application">Variables!$AC$38:$AC$41</definedName>
    <definedName name="_xlnm.Print_Area" localSheetId="1">'Basic Info'!$B$2:$M$70</definedName>
    <definedName name="_xlnm.Print_Area" localSheetId="0">Instructions!$B$2:$R$69</definedName>
    <definedName name="_xlnm.Print_Area" localSheetId="2">'Opportunity Register'!$C$1:$S$32</definedName>
    <definedName name="Sector">Variables!$V$2:$V$3</definedName>
  </definedNames>
  <calcPr calcId="191029"/>
  <pivotCaches>
    <pivotCache cacheId="0" r:id="rId13"/>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9" l="1"/>
  <c r="H17" i="9"/>
  <c r="H18" i="9"/>
  <c r="H19" i="9"/>
  <c r="H20" i="9"/>
  <c r="H21" i="9"/>
  <c r="H22" i="9"/>
  <c r="H23" i="9"/>
  <c r="H24" i="9"/>
  <c r="H25" i="9"/>
  <c r="H26" i="9"/>
  <c r="H27" i="9"/>
  <c r="H28" i="9"/>
  <c r="H29" i="9"/>
  <c r="H30" i="9"/>
  <c r="H31" i="9"/>
  <c r="H32" i="9"/>
  <c r="T14" i="9"/>
  <c r="H14" i="9" s="1"/>
  <c r="T15" i="9"/>
  <c r="T16" i="9"/>
  <c r="H16" i="9" s="1"/>
  <c r="T17" i="9"/>
  <c r="T18" i="9"/>
  <c r="T19" i="9"/>
  <c r="T20" i="9"/>
  <c r="T21" i="9"/>
  <c r="T22" i="9"/>
  <c r="T23" i="9"/>
  <c r="T24" i="9"/>
  <c r="T25" i="9"/>
  <c r="T26" i="9"/>
  <c r="T27" i="9"/>
  <c r="T28" i="9"/>
  <c r="T29" i="9"/>
  <c r="T30" i="9"/>
  <c r="T31" i="9"/>
  <c r="T32" i="9"/>
  <c r="T13" i="9"/>
  <c r="H13" i="9" s="1"/>
  <c r="L9" i="9"/>
  <c r="K9" i="9"/>
  <c r="J9" i="9"/>
  <c r="L8" i="9"/>
  <c r="K8" i="9"/>
  <c r="J8" i="9"/>
  <c r="I8" i="9"/>
  <c r="L7" i="9"/>
  <c r="K7" i="9"/>
  <c r="J7" i="9"/>
  <c r="I7" i="9"/>
  <c r="I9" i="9"/>
  <c r="E50" i="7"/>
  <c r="J61" i="7"/>
  <c r="J62" i="7"/>
  <c r="J63" i="7"/>
  <c r="J64" i="7"/>
  <c r="J65" i="7"/>
  <c r="J66" i="7"/>
  <c r="AE30" i="2"/>
  <c r="AE31" i="2"/>
  <c r="AE32" i="2"/>
  <c r="AE33" i="2"/>
  <c r="AE29" i="2"/>
  <c r="I67" i="7" l="1"/>
  <c r="D25" i="7"/>
  <c r="P3" i="9"/>
  <c r="P4" i="9" s="1"/>
  <c r="L40" i="7"/>
  <c r="K40" i="7"/>
  <c r="K69" i="7"/>
  <c r="N55" i="7"/>
  <c r="K39" i="7"/>
  <c r="K30" i="7"/>
  <c r="K29" i="7"/>
  <c r="L39" i="7"/>
  <c r="L30" i="7"/>
  <c r="L29" i="7"/>
  <c r="S4" i="9"/>
  <c r="C11" i="7"/>
  <c r="C12" i="7"/>
  <c r="G35" i="7"/>
  <c r="K35" i="7" s="1"/>
  <c r="L35" i="7"/>
  <c r="I38" i="7"/>
  <c r="G39" i="7"/>
  <c r="C59" i="7"/>
  <c r="L61" i="7" l="1"/>
  <c r="L62" i="7"/>
  <c r="L63" i="7"/>
  <c r="L64" i="7"/>
  <c r="L65" i="7"/>
  <c r="L66" i="7"/>
  <c r="L67" i="7"/>
  <c r="G41" i="7"/>
  <c r="N16" i="9" s="1"/>
  <c r="I69" i="7"/>
  <c r="J67" i="7"/>
  <c r="J68" i="7" s="1"/>
  <c r="B4" i="4"/>
  <c r="N14" i="9"/>
  <c r="N15" i="9"/>
  <c r="N9" i="9" s="1"/>
  <c r="N19" i="9"/>
  <c r="N20" i="9"/>
  <c r="N21" i="9"/>
  <c r="N22" i="9"/>
  <c r="N23" i="9"/>
  <c r="N24" i="9"/>
  <c r="N25" i="9"/>
  <c r="N26" i="9"/>
  <c r="N27" i="9"/>
  <c r="N28" i="9"/>
  <c r="N29" i="9"/>
  <c r="N30" i="9"/>
  <c r="N31" i="9"/>
  <c r="N32" i="9"/>
  <c r="AE3" i="2"/>
  <c r="AE4" i="2"/>
  <c r="AE5" i="2"/>
  <c r="AE6" i="2"/>
  <c r="AE7" i="2"/>
  <c r="AE2" i="2"/>
  <c r="P6" i="9"/>
  <c r="O6" i="9"/>
  <c r="N6" i="9"/>
  <c r="M6" i="9"/>
  <c r="L6" i="9"/>
  <c r="J6" i="9"/>
  <c r="I6" i="9"/>
  <c r="E9" i="4"/>
  <c r="D9" i="4"/>
  <c r="T5" i="2"/>
  <c r="T4" i="2"/>
  <c r="T2" i="2"/>
  <c r="T3" i="2"/>
  <c r="T10" i="2"/>
  <c r="L2" i="9"/>
  <c r="L3" i="9"/>
  <c r="W16" i="2"/>
  <c r="W15" i="2"/>
  <c r="W14" i="2"/>
  <c r="W13" i="2"/>
  <c r="W12" i="2"/>
  <c r="W11" i="2"/>
  <c r="W10" i="2"/>
  <c r="W9" i="2"/>
  <c r="W8" i="2"/>
  <c r="W7" i="2"/>
  <c r="W6" i="2"/>
  <c r="W5" i="2"/>
  <c r="W4" i="2"/>
  <c r="W3" i="2"/>
  <c r="W2" i="2"/>
  <c r="R2" i="2"/>
  <c r="D6" i="4"/>
  <c r="B2" i="4"/>
  <c r="I15" i="15"/>
  <c r="H15" i="15"/>
  <c r="I14" i="15"/>
  <c r="H14" i="15"/>
  <c r="I13" i="15"/>
  <c r="H13" i="15"/>
  <c r="I12" i="15"/>
  <c r="H12" i="15"/>
  <c r="I11" i="15"/>
  <c r="H11" i="15"/>
  <c r="I10" i="15"/>
  <c r="H10" i="15"/>
  <c r="I9" i="15"/>
  <c r="H9" i="15"/>
  <c r="I8" i="15"/>
  <c r="H8" i="15"/>
  <c r="H7" i="15"/>
  <c r="H6" i="15"/>
  <c r="H5" i="15"/>
  <c r="H4" i="15"/>
  <c r="E8" i="4"/>
  <c r="D8" i="4"/>
  <c r="D7" i="4"/>
  <c r="K72" i="7"/>
  <c r="N13" i="9" l="1"/>
  <c r="N18" i="9"/>
  <c r="N17" i="9"/>
  <c r="L68" i="7"/>
  <c r="P13" i="9"/>
  <c r="P23" i="9"/>
  <c r="P29" i="9"/>
  <c r="P18" i="9"/>
  <c r="P25" i="9"/>
  <c r="P31" i="9"/>
  <c r="P32" i="9"/>
  <c r="P22" i="9"/>
  <c r="P27" i="9"/>
  <c r="P24" i="9"/>
  <c r="P17" i="9"/>
  <c r="P14" i="9"/>
  <c r="P19" i="9"/>
  <c r="L72" i="7"/>
  <c r="P28" i="9"/>
  <c r="P26" i="9"/>
  <c r="P21" i="9"/>
  <c r="P20" i="9"/>
  <c r="P15" i="9"/>
  <c r="P9" i="9" s="1"/>
  <c r="P30" i="9"/>
  <c r="F8" i="4"/>
  <c r="E7" i="4"/>
  <c r="F7" i="4" s="1"/>
  <c r="F9" i="4"/>
  <c r="D10" i="4"/>
  <c r="M15" i="9"/>
  <c r="M24" i="9"/>
  <c r="M13" i="9"/>
  <c r="M25" i="9"/>
  <c r="M19" i="9"/>
  <c r="M31" i="9"/>
  <c r="M32" i="9"/>
  <c r="M27" i="9"/>
  <c r="M20" i="9"/>
  <c r="M23" i="9"/>
  <c r="M28" i="9"/>
  <c r="M14" i="9"/>
  <c r="M22" i="9"/>
  <c r="M30" i="9"/>
  <c r="M16" i="9"/>
  <c r="M29" i="9"/>
  <c r="M18" i="9"/>
  <c r="M21" i="9"/>
  <c r="M26" i="9"/>
  <c r="M17" i="9"/>
  <c r="P16" i="9"/>
  <c r="N7" i="9" l="1"/>
  <c r="N8" i="9"/>
  <c r="M7" i="9"/>
  <c r="M8" i="9"/>
  <c r="P7" i="9"/>
  <c r="P8" i="9"/>
  <c r="O13" i="9"/>
  <c r="M9" i="9"/>
  <c r="O26" i="9"/>
  <c r="O16" i="9"/>
  <c r="O15" i="9"/>
  <c r="O19" i="9"/>
  <c r="O24" i="9"/>
  <c r="O17" i="9"/>
  <c r="O30" i="9"/>
  <c r="O21" i="9"/>
  <c r="O23" i="9"/>
  <c r="O25" i="9"/>
  <c r="O22" i="9"/>
  <c r="O28" i="9"/>
  <c r="O20" i="9"/>
  <c r="O29" i="9"/>
  <c r="O27" i="9"/>
  <c r="O31" i="9"/>
  <c r="O18" i="9"/>
  <c r="O14" i="9"/>
  <c r="O32" i="9"/>
  <c r="O8" i="9" l="1"/>
  <c r="O9" i="9"/>
  <c r="O7" i="9"/>
  <c r="E10" i="4"/>
  <c r="F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Mahecha, Ed</author>
  </authors>
  <commentList>
    <comment ref="I12" authorId="0" shapeId="0" xr:uid="{56ABBC5C-1F42-4DDE-96C0-BF578F6EB4CD}">
      <text>
        <r>
          <rPr>
            <sz val="9"/>
            <color indexed="81"/>
            <rFont val="Tahoma"/>
            <family val="2"/>
          </rPr>
          <t>primary contact for assessment in facilities without energy manager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Yim, Tommy</author>
  </authors>
  <commentList>
    <comment ref="I12" authorId="0" shapeId="0" xr:uid="{37713BB5-3EAD-466E-828E-82C871366E6C}">
      <text>
        <r>
          <rPr>
            <b/>
            <sz val="9"/>
            <color indexed="81"/>
            <rFont val="Tahoma"/>
            <family val="2"/>
          </rPr>
          <t>Note:
For Low Carbon Electrification Opportunities, please enter -'ve value.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<sst xmlns="http://schemas.openxmlformats.org/spreadsheetml/2006/main" count="1603" uniqueCount="784">
  <si>
    <t>Color Scheme</t>
  </si>
  <si>
    <t>White</t>
  </si>
  <si>
    <t>User Input</t>
  </si>
  <si>
    <t>Free text format or drop down list</t>
  </si>
  <si>
    <t>Green</t>
  </si>
  <si>
    <t>Output</t>
  </si>
  <si>
    <t>Calculated Value</t>
  </si>
  <si>
    <t>Green Fill w/ Red Text</t>
  </si>
  <si>
    <t>Fuel Output</t>
  </si>
  <si>
    <t>Grey</t>
  </si>
  <si>
    <t xml:space="preserve">Title or descriptor </t>
  </si>
  <si>
    <t>Section 1: Basic Information</t>
  </si>
  <si>
    <t>Auditor Information</t>
  </si>
  <si>
    <t>Facility / Building Energy Information:</t>
  </si>
  <si>
    <t>Section 2: Opportunity Register</t>
  </si>
  <si>
    <t>Opportunity Register section is designed to summarize the energy opportunities identified during the energy scan activity, provide relevant information, and to be used as a tool for project management and planning.</t>
  </si>
  <si>
    <t>Opportunity Savings Description</t>
  </si>
  <si>
    <t>Initiative Type:</t>
  </si>
  <si>
    <t>End Use:</t>
  </si>
  <si>
    <t>Opportunity Description</t>
  </si>
  <si>
    <t>Recommended Next Steps</t>
  </si>
  <si>
    <t>Electricity Savings Estimate (kWh/y):</t>
  </si>
  <si>
    <t>Implementation Cost Estimate ($):</t>
  </si>
  <si>
    <t>Project Management</t>
  </si>
  <si>
    <t>Implementation Summary Table</t>
  </si>
  <si>
    <t>Basic Information</t>
  </si>
  <si>
    <t>Application Sector:</t>
  </si>
  <si>
    <t>Service:</t>
  </si>
  <si>
    <t>Rate:</t>
  </si>
  <si>
    <t>Audit Scope:</t>
  </si>
  <si>
    <t>Integrated Energy Audit</t>
  </si>
  <si>
    <t>Phone:</t>
  </si>
  <si>
    <t>Unit</t>
  </si>
  <si>
    <t>E-mail:</t>
  </si>
  <si>
    <t>Company Name:</t>
  </si>
  <si>
    <t>Company Address</t>
  </si>
  <si>
    <t>Information Type</t>
  </si>
  <si>
    <t>Input</t>
  </si>
  <si>
    <t>Units</t>
  </si>
  <si>
    <t>Value</t>
  </si>
  <si>
    <t>Annual Electricity Consumption</t>
  </si>
  <si>
    <t>kWh</t>
  </si>
  <si>
    <t>kW</t>
  </si>
  <si>
    <t>Building Load intensity</t>
  </si>
  <si>
    <t>Power Factor Surcharge</t>
  </si>
  <si>
    <t>$</t>
  </si>
  <si>
    <t>Electrical Demand Cost</t>
  </si>
  <si>
    <t>Electrical Consumption Cost</t>
  </si>
  <si>
    <t>Total Electrical Cost</t>
  </si>
  <si>
    <t>Building Cost intensity</t>
  </si>
  <si>
    <t>Fuel Type</t>
  </si>
  <si>
    <t>GJ</t>
  </si>
  <si>
    <t>Annual Fuel Consumption</t>
  </si>
  <si>
    <t>Annual Fuel Consumption in equivalent GJ</t>
  </si>
  <si>
    <t>eGJ</t>
  </si>
  <si>
    <t>Building Fuel Intensity</t>
  </si>
  <si>
    <t>Total Fuel Cost</t>
  </si>
  <si>
    <t>Fuel Rate</t>
  </si>
  <si>
    <t>$/GJ</t>
  </si>
  <si>
    <t>Main Switch Size</t>
  </si>
  <si>
    <t>Amps</t>
  </si>
  <si>
    <t>Voltage</t>
  </si>
  <si>
    <t>Volts</t>
  </si>
  <si>
    <t>Phase</t>
  </si>
  <si>
    <t>Main Switch Capacity</t>
  </si>
  <si>
    <t xml:space="preserve">System </t>
  </si>
  <si>
    <t>% Electrical Consumption</t>
  </si>
  <si>
    <t>% Fuel Consumption</t>
  </si>
  <si>
    <t>Total</t>
  </si>
  <si>
    <t>Previous Year Consumption</t>
  </si>
  <si>
    <t>Implementation Summary</t>
  </si>
  <si>
    <t>Energy Efficiency</t>
  </si>
  <si>
    <t>Low Carbon Electrification</t>
  </si>
  <si>
    <t>Demand Response</t>
  </si>
  <si>
    <t>Other</t>
  </si>
  <si>
    <t>No.</t>
  </si>
  <si>
    <t xml:space="preserve">Initiative Type </t>
  </si>
  <si>
    <t>End Use</t>
  </si>
  <si>
    <t>Electricity Savings Estimate
(kWh/y)</t>
  </si>
  <si>
    <t>Fuel Savings Estimate
(GJ/y)</t>
  </si>
  <si>
    <t xml:space="preserve">Annual Electricity Cost Savings
($/y) </t>
  </si>
  <si>
    <t>Annual Fuel Cost Savings ($/y)</t>
  </si>
  <si>
    <t xml:space="preserve">Annual Cost Savings
Total
($/y) </t>
  </si>
  <si>
    <t>GHG Savings (tCO2e/y)</t>
  </si>
  <si>
    <t>(Do Not Modify) Row Checksum</t>
  </si>
  <si>
    <t>(Do Not Modify) Modified On</t>
  </si>
  <si>
    <t>ECM Name</t>
  </si>
  <si>
    <t>Persistence (yrs)</t>
  </si>
  <si>
    <t>End Use Type (End Use) (End Use)</t>
  </si>
  <si>
    <t>Status Reason</t>
  </si>
  <si>
    <t>DBbjqnH0dkWRbK5ULu8TCxQkZzZvlzPHCvIm2r571wrMiidd56pRc6EMNjuliijLZlCLDmpGEZN8Ri/AKx4E7g==</t>
  </si>
  <si>
    <t>Adaptable Street Lighting</t>
  </si>
  <si>
    <t>Custom Lighting</t>
  </si>
  <si>
    <t>Commercial</t>
  </si>
  <si>
    <t>Available</t>
  </si>
  <si>
    <t>Row Labels</t>
  </si>
  <si>
    <t>7lJebY8waMB9RguQQZwKKzpsYCB0oYpqYQpbbX6vAiKOk54N5JlLm4iIl89NC+8srnG6PNFtfwl1n6mvzykiLw==</t>
  </si>
  <si>
    <t>/IsH4LZ/XdXoIIQuSLOiV9Y6QDgZzTgSJO25sSrF1Fv/9K/oOj+g2Z5Wz/RDSywCVgQlZBgR+/RcTFgB/wmlNA==</t>
  </si>
  <si>
    <t>HVAC</t>
  </si>
  <si>
    <t>Industrial</t>
  </si>
  <si>
    <t>Building Envelope</t>
  </si>
  <si>
    <t>idnCaViFaUZA0IpTnJSLmYUP6zOQ8SsubxHehrapyg1SB5iljxx5LeYPb33qZM7i9cVQXgFmQNcNSsw4tUUrUA==</t>
  </si>
  <si>
    <t>Compressed Air</t>
  </si>
  <si>
    <t>14K45/em6AJLspsBKN0lmjoBQYIH6xNDwewGXJ99cWp+riaJI57JZ9Y1XcHvriAT1dSgxllZDZEN1IhJPTNbow==</t>
  </si>
  <si>
    <t>Refrigeration</t>
  </si>
  <si>
    <t>Domestic Hot Water</t>
  </si>
  <si>
    <t>LCE - HVAC</t>
  </si>
  <si>
    <t>Load Displacement - Geothermal</t>
  </si>
  <si>
    <t>Ps2hGG+r3jkq5w31Ls1kn3+j8QFR2e0vzy6SS2O5K8FNtf4ahC+eZY7LbnTZoBN24/AwL/J+M4RTru9bI2jRPQ==</t>
  </si>
  <si>
    <t>Adjustable Speed Drive with a programmed set point or controlled by a feedback signal from a process variable (not operator adjustable) - Pumps</t>
  </si>
  <si>
    <t>LCE - Process</t>
  </si>
  <si>
    <t>vfnAl7nRKofRVvjhi1OcbUA4avGB4XwCOo9yR47HrvvgqyY9BsXoGLcfxuBaArotMfDJS+gI9LXDtl1Kl8AqWg==</t>
  </si>
  <si>
    <t>LCE - Transportation</t>
  </si>
  <si>
    <t>uCtiE6A+lTbWzonSTSwUBfAL2OLqJHWvZUMSCQ3VUuIAk3dIbWZIZUlVG8xR0ZZZjgY10r/DJRhQygRXob8MZw==</t>
  </si>
  <si>
    <t>pYPFiaMetoQVRn9yU1usk96zTTCtLFBFji9p2Qua0SzSrByiheXEFY8ht3qwnMHtJ545qLJv1KrMRPnFQcvwZg==</t>
  </si>
  <si>
    <t>8xrTvCbh4J2/y8aYpd36KzArf2k2TUlnhdu5DH02IVJss3vVZ8AEoaV57nsFpddKyL79fnYt1+TJQHQpif/Fqg==</t>
  </si>
  <si>
    <t>Load Displacement - Solar</t>
  </si>
  <si>
    <t>evwWzGaUe+9Ifr4CskARF50kf0z9wctKiJWA+gvULI9P5/2FERIgvaxcUkqwKx1oQoz/IVPbX3LyaKrD8ulv2g==</t>
  </si>
  <si>
    <t>x3dzjCP6/0a/zg3dXCL2mMNl5Nde8oWCXIRRO833g5qWJMgHar991ohcAI8OYE5Em3bCjI5ElNvJxWZWkX95Sg==</t>
  </si>
  <si>
    <t>xY2mpOo6wrL/1d8NYHpvYR8IKZn4+WykyyXueaCrO4CQoCW8Sftfi7pS7+c3KyiEtKEeiaedp09TAVRzzwTlkQ==</t>
  </si>
  <si>
    <t>Adjustments to lighting control operations without commissioning</t>
  </si>
  <si>
    <t>TFR5HeC1xVGTjw4YT9fJgGroHcAyHb3qd1alSBRyabHL/vHpIHKdMTEGs1azllEeEqPvIWitlvrfcQfkRKg3nw==</t>
  </si>
  <si>
    <t>Process</t>
  </si>
  <si>
    <t>mKJGgzRTk6Jge4sz6k6BeBT1cSoRAvwXIAc5jPnOgPVEbjPfeDbRMZLytobP98mWHumi2BBSL4y996nS6vcwdw==</t>
  </si>
  <si>
    <t>Advanced Rooftop Unit Controls</t>
  </si>
  <si>
    <t>Pumps</t>
  </si>
  <si>
    <t>3enBWDGzgL6ktanfivN4nKRydwajssGPgPJ7eXOigqNHdRIkngIwhB4L6/PnbDjV9gV+ON0Y2E+hDil9PvfrTA==</t>
  </si>
  <si>
    <t>Air distribution retrofit (ductwork)</t>
  </si>
  <si>
    <t>KWG5zb0k1H39NWFt8LtE/IdpJ8MSrdWT9jVv7NLekVdb3OENqCipP1jgrt8+BBrbPWefyXwEsjcSyeT6rpM/aw==</t>
  </si>
  <si>
    <t>woPANpjxEtSU2NtfkggWEtCDoUbQxeDmUiPaPmJOSwMCZ+GgMDhPIa2CC1ffzantK2HRVYOrz5jhe7s/UvHKtA==</t>
  </si>
  <si>
    <t>wHZ3WU9CjKsCf8ztcAtVAG8PtdJor2F1f5LGe2iUtwwVAs/subUN45SG++ITX2796U0Jkw5O/Q1Y5qTFP0fMVQ==</t>
  </si>
  <si>
    <t>Air Source VRF Distributed Heat Pumps</t>
  </si>
  <si>
    <t>pmhoqODLvtI3ieWIXjitvTt+kt+Tz3dj+jI5yrl0ziWNxOywfJQN5ElZ/Mt2CKGoUe8io2CPmsMtHk9k1yEQgw==</t>
  </si>
  <si>
    <t>Air Source VRF Distributed Heat Pumps with High-efficiency (&gt;75%) HRV</t>
  </si>
  <si>
    <t>+/2KT9AE+ApunN2X16B1D3Rro/DH3MubiHIIodlcSBERoyymkgukkF9phSeXPtYso1icJx/3v9/BGYvLhWaJsw==</t>
  </si>
  <si>
    <t>Air-to-Air Heat Pump (ductless or minisplit)</t>
  </si>
  <si>
    <t>iErc96LzqnO+XldcVBouEli3lTc7qm5Lz+noLzPoZ2r4IgwIemBZiSOPq4Ji4fCktg/5YH+YF4fcjhAjBkfXHQ==</t>
  </si>
  <si>
    <t>Air-to-Air Heat Pump (ductless or mini-split) with High-efficiency (&gt;75%) HRV</t>
  </si>
  <si>
    <t>ygyxowSF6L6MsN3mjys4rHekg6qISUavjntORc3RTm0rx4EoRjpai+2ZjfWDc5efSua4V2vXQ69GXOiGfjCLHQ==</t>
  </si>
  <si>
    <t>Air-to-Water CO2 Heat Pump Water Heater</t>
  </si>
  <si>
    <t>C1vTahLXFabdAwsyZ/Vdr+gD+/TtzSUaTSlEn/aEpGlxL+D2q0YZ6ggVJqDK2YuBYHOJbJ4HeofPYmIgNa3s3Q==</t>
  </si>
  <si>
    <t>+5Ee32oFVjJGIsZRmqBK77rteACLhDyj/xmq3I4xmi11l6UfkGB87WGbAMj+zkTk8+QahSAoO8tRnG6aGOSRdw==</t>
  </si>
  <si>
    <t>Air-to-Water Heat Pump</t>
  </si>
  <si>
    <t>pWDVI68WBThf0Ow4onJSZCeTBMI2evWjB8axIYN4WOUl6A5hg9EgZV4tn+hgLfNzAlM/fOUjaGpzzeqJbHSZ8Q==</t>
  </si>
  <si>
    <t>Air-to-Water Heat Pump (central plant)</t>
  </si>
  <si>
    <t>KRzW2Wiokxor5JW2cIxdrj+WczjyEV632tUKHaTL0QEeNIbWOX7kJp1VgymTcv01imXB2bC5ASzmNs25iObkHw==</t>
  </si>
  <si>
    <t>Air-to-Water Heat Pump Water Heater</t>
  </si>
  <si>
    <t>DU0rkwJXPXUuK7ZK4wStJfqRNtyoZWxWbTBN5pLQIQ2N4Ie6gM0t7jRuxFkd4j6Uvkfd4QfPpYXNXEgD478+uw==</t>
  </si>
  <si>
    <t>bpIEJ71zbD+51Yh8d2YIeHXS1fB02tW7uu48aWrD1wFl51xlSRKdvc5qmD56+8dZmT8YU5zmHkUpeIrAvvupVg==</t>
  </si>
  <si>
    <t>Anti-sweat heater humidistat control</t>
  </si>
  <si>
    <t>vzO+gbYkRHF9zDPx3G1ki+olcAzli0K4xJ4etjnmO2btUC1MSLj/N0tNIVf1drjoMVlNPBNd5xy66qRvLefY/g==</t>
  </si>
  <si>
    <t>MgM1Rgi+SO6HzO8JSUbpV5Aq1fl+gZcPZDZV9h8QofWZoZnC90TJFmVOyGnzBske7XoWiTyjHNFogv8Arx7gjQ==</t>
  </si>
  <si>
    <t>Wgp1lMmv2SgxX9Ky697YRcUJEHs1XqmrGyhUTxHVSGM2tQQt1cAwlhqmwd9HYntwz0G7v8krt8TZtVKQsft1jA==</t>
  </si>
  <si>
    <t>Bi-Level Stand-Alone Lighting Controls</t>
  </si>
  <si>
    <t>LDYDlEFJGM3tobxNfe/TX91yWke2ifiK3RaPsdzhbvQdD+Ks3XIIZVUDXJQwq1RxjafA6ztqQwZAfDZY0kPZRA==</t>
  </si>
  <si>
    <t>Boiler/ Steam Turbo-Generator</t>
  </si>
  <si>
    <t>Z0eTjv6GImMov5+Z8teoFq3oyccCoZuyvGDfk7ooebdeM4UsXYynoAPwJsJHXseX2eXY5nz5xy9S1YzLE6G6qw==</t>
  </si>
  <si>
    <t>fSO5dvamHKyEG1HURp5UdSB6HHNEeCMSYj2tb2LviCgw1JBUbu9/K1UxOSKEZ9tTLaMxxAFDS6uRGxq4VfWQvw==</t>
  </si>
  <si>
    <t>lJMKN9QvVDtX6FH8xUtsyExFdS7B3/lSrOZxCOBkl6XG879NRyK1vK94TvZDDcTHCrTT0NCQMJWp23JC45Yjlw==</t>
  </si>
  <si>
    <t>PbEJOZnInV93kGbpqr81FACEpwJn7szAy1YSqejWECluGXo1s1AKjejCuQRhU6Nm8OCsqstBZt4lTsXpATDbEQ==</t>
  </si>
  <si>
    <t>1rXVMDRCgUyIeqnMWaoU2Unz/mZW8JoLnIXlPcsBhFMKJFvyciiwkY4rgjbup59McUEszPb8HPtynp+hm5YBIw==</t>
  </si>
  <si>
    <t>Networked Lighting Controls</t>
  </si>
  <si>
    <t>bRTNhkJ3zD/JUc08hf4WCC/l/0WiDeCvJ7ywmy7c0dHpGv4DVE+AmeI1A7c+nq13Draa63/LOqyr92DSYc7tvQ==</t>
  </si>
  <si>
    <t>dP7jJjEyS420mY7q5TkWsG7PPYInbaLDfDkROPsVNFQh9xaQ53YNg88fa8R6Oi4iL7qXGhM2lQI0T+XRInjz2A==</t>
  </si>
  <si>
    <t>pF07cSGsu3dIrnHDNv8pkaFVmxI4E8ddQrzW+epfLewSUbiaqy4BoAlWs3HslTEjg24P85rp0NpLue5zLcZ1/Q==</t>
  </si>
  <si>
    <t>0SokPGY0xQKuCdpGoutQesoJpPV1XoxHcicO3gY430Ey4XCWG93Aa4VzyPlHhhIINCFRySGU4AwiGwW2IWiNuA==</t>
  </si>
  <si>
    <t>Building Controls</t>
  </si>
  <si>
    <t>MULFAmdJqszGVZoPeu4v2MrrZMmOA6Ej0vNR6XwuVOAa5AwZJwANiKclUDJXgCJ9/o8K8KYTtsKjo84SCj2VrA==</t>
  </si>
  <si>
    <t>53BPCNEoUYAfNV5nxpKRM3INS59D8yEGigMp5CIq9QHwWPbSbn3a5+ksW6zfCcnlijtPQouQIiJjKLLTulhF+w==</t>
  </si>
  <si>
    <t>VbF1KZ3caOWbRHze1FheJRqtpnZpy4dUUhQ8tv8w56jipGqsPf7nBbVdo1ziqQtXHtIAlv21hu5kpvgty0da+g==</t>
  </si>
  <si>
    <t>mCnZ46jOMgze8U2L2TELVAVqTOUVxczIcrZVoBJ4RWEpXQcGTa2v5Q8iXxx0An514M94s7cRHAqay7X5+FR/LQ==</t>
  </si>
  <si>
    <t>CO based parkade ventilation control</t>
  </si>
  <si>
    <t>OLyV3M2wVWgCbal9Z4kMgaF/LJIiQO3Ql2mnCmq7U8MBbYV4qXGDmbHdVcJDTUr3jKedxgbQH/LEpdnmB7/LfA==</t>
  </si>
  <si>
    <t>ac+pwMANMghv0Xt/0vqMM+EfgRVwXFUZjdQc8OQM92goa/h58+FsR+lKV0olwOi1PZowKPrnQRIJ8cyWhH/kiQ==</t>
  </si>
  <si>
    <t>CO2 based demand control ventilation</t>
  </si>
  <si>
    <t>Grand Total</t>
  </si>
  <si>
    <t>+3IVVLoEn/ZpoDX4N+NQWbjVF5wyczT0EKQGhkSQj9ZyctjB2qMy2tEhcOqsbTk/7Jen7D8wL+IidxL3Gt604A==</t>
  </si>
  <si>
    <t>6SLGojw3qXzigOrfcFCeoG0P/NTv896ZGXm11c3AEIAdrtTXVCh8l2cBkiBu/DIB1TECVs2ODyhKNE3Rb8j8Ag==</t>
  </si>
  <si>
    <t>vRhKS3j+eQR5E84FMirbwZsIaFXsq2mI6/PoWLXdVANN7MmhRyofj06qmXg13OTdIdROano+IMA8spgRnAZgeQ==</t>
  </si>
  <si>
    <t>5wK66U/ogbKEjZDUi6dpwl5M0ocogqCTzOoGclkAFuz7eobgPOgOwLVICuG0L0/URj5ZA0+skqJyJzIRcw4NcQ==</t>
  </si>
  <si>
    <t>uT4hj7rfPO1l3thRGMpSDsDIbbaESObIBiYVOfMisHF451VIt9QcYymAyDD4lTMc4Z3SvWy/owI317sqK3s1Mg==</t>
  </si>
  <si>
    <t>e4ln3ahSZl1u8e156b2Hoe1nDrcNw8s5yxhgfJjE0CDp8e77/W88YbY2769Sqqgskc+IBEKHnTfUiXAXJTSieQ==</t>
  </si>
  <si>
    <t>46H6zgr/A+F4xwxR4ddsECQr+u06bkehqavmJCI2l4Qa8NP4kFbj2ZuCMYphiSKXdL+mRc8OJRpdvgMA5Ox9bA==</t>
  </si>
  <si>
    <t>hQARCo5fcuAfdy2fOoPLK6EPmPY4r95Pay+zOcaeVVT8+7ERkNOndW5yMKnYCeH1psMTVzA+bEu1ECXEvE68HA==</t>
  </si>
  <si>
    <t>7Bj6gvFafime+LUGHao6WDfAHlNbTX6NQDOdIpMe26WaOghfWzr8THnQ8iKARhU0SdQdCblVcbQW5tZLb0na8w==</t>
  </si>
  <si>
    <t>xVvWwOvo3oFFG8UaDfaPXJVF2kmK8sJTQ43aRGvwslM2ztIQf8czS8AZ8ZReYfclNwsFXUDIkmA8VSYfaPZGVQ==</t>
  </si>
  <si>
    <t>OGxPQdwFr8E0r9ppWhcXur1YGkC4NE/7/tITyF8zj+AbfC5ArYfTWi9C/FRKH/K/O7PbYB8GvJx0EkGXfW3Dmw==</t>
  </si>
  <si>
    <t>fHRehfBJZfTqQA2wxeD7rdKQI/a1FXma7LOZ3k2jaU5hcZUq7TWpdQxhc60P/WRTjoBVTD7AEI26tjPrmNq2sw==</t>
  </si>
  <si>
    <t>Cz1/WCJQfL4gtvrBgcBfpm5U2XqagIgAJK6/WsIXxEPCmqjt9uz8Fmfvd9/ZF0E5/lvkmUPN3cEn67e3owDO4w==</t>
  </si>
  <si>
    <t>Combined Heat and Power</t>
  </si>
  <si>
    <t>h6DizSONb6EGRKxdMl1DUbqsk1LMDRPwKdFitdVpdaFIkaBioMN4hYtejnlHEvdfu45XlOtb+an33XI/z8DfQA==</t>
  </si>
  <si>
    <t>54+7H6DuPRbg+HMdnDOrUy9Cv/3WE//hJ2wzwY0mNOSgZwrxd8HCmJfVNgNs1LnpfyW4HiZ3PZUHqc2UXzvGaA==</t>
  </si>
  <si>
    <t>r9vPcyApJO/5p0Gm4DAb5TQDSipBBz47zTH4e+zDH77CK4Gcl4L808iuyJ22mhXd3PIrb8nFt98aphDTPHR6Zw==</t>
  </si>
  <si>
    <t>ErXbrw5h12VRDMvx67BtSDLxgeubWDMDOXli23b55RN25DJlgcCwK/5NUNovdBgtO2vZT/Oi+XKgx9NL/net6Q==</t>
  </si>
  <si>
    <t>CHc2ssqUwGHCPFQJTsReH/Z5f0H2bevFF1lzyshuGJ9BnAw82DAjXdZR+3OibpG1k1+wFdNCEd6jQU/S/5xVeQ==</t>
  </si>
  <si>
    <t>Ebdr4RthxRljV0d6pYGNa/CRRN5oKp/H55kfwgxAR4gBR74DSFU73vrO6GOMMv9GtBxVHLCqL8p+L1OF/XeVdA==</t>
  </si>
  <si>
    <t>NpXd6Qewp0dkMH5UagJEhlw+Y0QVD3ZuempvJCrogopAeoCYej9zNwOnskSPY8uE6m2iHHjhawzi5ieXypSdzg==</t>
  </si>
  <si>
    <t>mviNAcHRvD/8i4XSZB2DSFievf5htBV2c0rrHL25hss+NN+8+g4Uxe2z2XpS/jBEeMs0F/BKdVy1A09WjAz4ag==</t>
  </si>
  <si>
    <t>PfuNh04HYapS6QBnXvH88hNdcFWq+8kC3Zp5ASwieOqGRaMLf+r+3cIV0O4r3/vEyyUQ7Y2zZmMfCtxqy7h8PA==</t>
  </si>
  <si>
    <t>Commercial operational and procedural measures including: Control resets and rescheduling; Heating, cooling, hot water, air handling, and refrigeration systems optimization; Fan motor and pump rescheduling; Unoccupied setback; System lockout .</t>
  </si>
  <si>
    <t>c4Sk/6uwQUhenq1h7wTbINjov6xdcX+Zi+A1e4v0ihYwTWRGDpL1gZiKgPyl6rf2nNFgprptiSl59gSKbHFd/g==</t>
  </si>
  <si>
    <t>vOKdoe3OfqLbnTKWC1hFrKT/6ghqSsBX1X9dkiEMlDZbfc5Rk/0zGdWQbTLu/qZyxHYob77FK53F4uLOEmxbqw==</t>
  </si>
  <si>
    <t>Compressed air piping and storage</t>
  </si>
  <si>
    <t>f2WOqPWB/RrVfsTjllgGzNS6q/G7ITmal6VlXU3pymHhoSStXWJTH3IxUoFVKjGIB5zDsOUHDZ27AJaIP3hupA==</t>
  </si>
  <si>
    <t>Connection to BC Hydro Grid via T/D Line</t>
  </si>
  <si>
    <t>hG4BiLiPc0Qszli8VARMPRxyqRSc4+9wCyQ25XP7Bfo69r+02J1uyKAHszHwCiDrZoxf7Jqg8V0OG2WKKLeaOA==</t>
  </si>
  <si>
    <t>myDmjJMIsJAEayxxC84UEulHsbIbOmLidevctuVWWyNhj15FKm5VIzGAajbE2HmTvjs7jN86MSM10qFPnwVD1g==</t>
  </si>
  <si>
    <t>dyB3yI8l/2BVRpmwBFxDzcHADH9X4Ug2l3Z2MWX5g7Wd9FI1GOCxj+0Xxb0nTRcN3PwDXu4cXwmbV1hiuQax3g==</t>
  </si>
  <si>
    <t>dDTsfaMzB1tSAKbbO2bb+anVpRKOy/OCUyHnIi3O78uB8YN4gzXYW0VwS2D6JuI3r3648WcZkanWv+QBtGTvKw==</t>
  </si>
  <si>
    <t>Cooling equipment upgrades including high efficiency air conditioners</t>
  </si>
  <si>
    <t>iNFhZGYRudXC1OPRxXJ4hiPGf9Iq0qAfmGOm3WKdP8CxbmIJV9n881EPvoqDsKqSAFO/VxrwCUf3ibH2N6Oh0g==</t>
  </si>
  <si>
    <t>HvCTDoyf286ZeuQwLlLJSU+VdDMfZ7dfpv31xtUY71VkArgY76a76rps/jFoYlsOZrwMc7Cp00V9IJdIL/mULg==</t>
  </si>
  <si>
    <t>rUQazwroDRtoMCfovhn+3GBPTTAYhR1YM8KOpU0w81keGy4IDCZqw19jpE4kICVS6Bv4c5Dttqy38lyzeV0zmQ==</t>
  </si>
  <si>
    <t>Cooling tower / evaporating condenser</t>
  </si>
  <si>
    <t>hkaMfJrXuBOdWxbV/7XVbBr67xJhY+CglQ+biYDIbnTvtm6SbPPXlLw0b3W9M7q5rMYWkJSqMJ6dzfgCOr4t4A==</t>
  </si>
  <si>
    <t>lvBQsmhPN0+w23LTNgX6RjIt/1zImxMU/ENsp2D1qJc+Ce+WR+SlKQ43xTG8cAWbag2uxgyCbfYWjUWX1SXWyw==</t>
  </si>
  <si>
    <t>jAzclUGeh0PX+HB3cibyoei0dxKM7tepx4jWJgsynmZ5yD++I7SY3rxu2DZ34GnPUdSjkbfQR/bYOm2dcByiMQ==</t>
  </si>
  <si>
    <t>3pMRMMJ/+IY+SuCcBG1mWvnmub1VvNxgfrOm/t+I0X/TA5p/aDgN765hCyLFTF3jBEdP+7E8bUj7ZufApATUgQ==</t>
  </si>
  <si>
    <t>1UVSRjkbosPbwP5pl8ymU0j1EOaZQ80g3XwJ2VvgG5564Ycg7SlS1+AA0w68UNVWYRhLR1zRsgiHpeACCAkBOw==</t>
  </si>
  <si>
    <t>/jzXkhBqUbD53pUHe+Rg5FoNfUHsOJZt9xc6GJanifwHUwmwbnnkbRU4tDp4U90tiF3YHJSsAgvJ0P4FFj580Q==</t>
  </si>
  <si>
    <t>M3cWgirXTwUmQCjoYQmotvFL+ncgI2X9YWqkzKT5PA3vBuStzvXXDMAf6q4c8Pcptd4i+Y20t/8cNhjvrGRCcQ==</t>
  </si>
  <si>
    <t>Domestic hot water boiler upgrade; Efficient boiler</t>
  </si>
  <si>
    <t>/oWDWLwnECZeyzxf6S00lw9p8zXxjlSCHLvhCBJ/lYOIaoThGOWYBGfiJpQN24IFMD2vtI/Y0G38ixlmpRsktA==</t>
  </si>
  <si>
    <t>Domestic hot water distribution system retrofit (piping insulation)</t>
  </si>
  <si>
    <t>KVIicsHMW75ZcXUv7FNU74MahekF7cWk9oJcJUweqzArjRAe0jUPzC5y7owMHZ3TklYJ4QI8B0HM9DWwfQe3gw==</t>
  </si>
  <si>
    <t>qgFmyOax4bowPJZGVEpY1EgDEQfQBOS9odqp9UnNh3jF0PPoeeMvk67aCy9OuHZf0TdmcxV7uhq+NknItBNU4Q==</t>
  </si>
  <si>
    <t>Domestic hot water recirculation pump demand control</t>
  </si>
  <si>
    <t>fw6L8F+VtrZzwBK8x2xouaXbci5nAF7yrjS2roQytmDP9lBH92Waen/PBLww5N6nzh6L7IMHBotXxvTs4KTL6g==</t>
  </si>
  <si>
    <t>nT6js/oEg6V4ygwWUwIQPO3mHsj+zcDdZN5IE2wPUOHFWlLsYJYh8U4Y+JeeIBqpbQThg+mdG83BNrYp0FWtrQ==</t>
  </si>
  <si>
    <t>dbVy0GtXlKzYzl36NSLn0yzj0Ca6xaTmwqQeNslpW9BF9t0eUsLgUpuaoXztSHUoqclS1kHuZuqWInGAHP9TVA==</t>
  </si>
  <si>
    <t>Efficient  door type dishwashing</t>
  </si>
  <si>
    <t>liIqU8BET/uszT2rhekWYNu044K1SLJCrJCXhkXGN9CX2M3Eu3Mi+GEGKbs0cFNSUgQnPBBmQHPdTrkQdGY7mw==</t>
  </si>
  <si>
    <t>Efficient air compressors</t>
  </si>
  <si>
    <t>cyNfaS/j4cd9mw/YPEOVgyTYGE6V9BprwWKmE2j5ZlKwaTXtssmPf8wXfOTT289cAg50+mvHWMnVTfcpfkXmBA==</t>
  </si>
  <si>
    <t>Efficient compressed air dryers</t>
  </si>
  <si>
    <t>5kPsIVwxeadLMPfUQwdHiKyCqNb6BQA6jkDPb+oABRsr5MhJt05q11PctqM8/DhlNgTIOxR3huAYNsl1omPdig==</t>
  </si>
  <si>
    <t>EkzF11AaAgtK0hJ6genysV7xREEqh3aRC5JdXt4HvL8l5XpYwqWiOEDRbJ2QGV9R2njf7O/8MsukSBfz9yN9JQ==</t>
  </si>
  <si>
    <t>Efficient conveyor dishwasher</t>
  </si>
  <si>
    <t>drvx0wACzJkuG7FPkSDRly8Nlzijw8v6kydV5+lSCTZNuLHtVTsje7qW0/ekCvd9VdiPmbVyKfpizm6ZrnHM6g==</t>
  </si>
  <si>
    <t>gABUWuAnDTSxLKzEDifkFfsJhyvR9r+OIoz7iwRZfYVn2e47rvM/JEqp50G0ZWNaQdxQEFCrQPgARzi8ydOo+A==</t>
  </si>
  <si>
    <t>Efficient food preparation equipment</t>
  </si>
  <si>
    <t>iMogMUfa4LfRSaeREBnzgIq1ngEKJ4M7Xs+J9qEcnj823ISMYq+SI9Ysr/U1B+H3xJ+I6I5eW+n+EjL0VCnVfA==</t>
  </si>
  <si>
    <t>SC3XLMhy1Jlvco5+CoX+L02jtsnM7fsq/8sg05XDngJgMwdzup0stF3pBpTmgO69SGiUlgNTfL2ikdPuVRS9NQ==</t>
  </si>
  <si>
    <t>Wd2ggxozLWQezo0ZYWuxB1ij9yr/Icnz0tvZ4/XJqD/+YYQ+q3+OPmw+okylXWTxXBgNgJdMZBbFSKEqPWj4Zw==</t>
  </si>
  <si>
    <t>JvQ7ZSEqHwrvIP3E80HMjsq0j0zQH211lxMfsEVvAM0Moe5EIKidBqT71eJjku54r9d2MuOqzz23VWt0Vp4j9A==</t>
  </si>
  <si>
    <t>Wi4J8/YfC4KP+puKgl1iAzui5AtnC0E0ut73EhH07LkKdZjhECtY/2rxwKYXOIAdm7gF253AWJq1SR1A7mKwzg==</t>
  </si>
  <si>
    <t>Efficient nozzles</t>
  </si>
  <si>
    <t>J6EbXMhPmnKPBu2YeAZUtXAFICkKvYPjk/IMYYnU6TyVV+Qm4NAsn1/IgE5eQ9fiFoOGdH/LC/QoMJiwueDCmQ==</t>
  </si>
  <si>
    <t>+ioyOArKjNP1MvuvkiU9fVbRgtH8crMR5o2HtuTY2SPgovRzr71/rWZhu35kdAi68spsqpAh/pEM59AYvECaEw==</t>
  </si>
  <si>
    <t>YzmPnAVUWwe9QJkEXFg217VYuxGD6AADtm8c0x3BUWVdQnK3Cfw7keBd+EEn9C8RgRyPiJxGX9hPuZOxLQZgsw==</t>
  </si>
  <si>
    <t>8bNdr2JJdqbHe9r5PuPLhP65kq8nCLfvgdHzHayRFu3HfC2Be9Ypbc0IBK3r6FfbOos7+lN/UWtpCEzePqD+Ig==</t>
  </si>
  <si>
    <t>Electric Boiler</t>
  </si>
  <si>
    <t>gyXOhQMjRRI9//VuiXry8l0CbQElA2TXwJM3N1xlBKKU9QZUKWIuWRneOk+1Z7TnDQ+C9aJmERfzcUiL1Hbpbw==</t>
  </si>
  <si>
    <t>+uL4mAjcR622sZVTaapouO21DjsZ45/DdEXLhvqEAv3SDeJhoXowj72HyrZruTKQSn9q6Jb0+xB+NokV3H67Aw==</t>
  </si>
  <si>
    <t>rgWGr3mC26xAMerfvloBfJi2RFNPHUUCV0nFkMb1o2OzU7zarkPLLfyVSwxW/CI5cLQd285UMoUpakCSLFt7GA==</t>
  </si>
  <si>
    <t>Electric Vehicle Supply Equipment – DC Fast Charging</t>
  </si>
  <si>
    <t>eowZHxbSn4tqOnwboj+bVLDwpzvStLtTji7yACbxJea5PRC+dQjwNGCaeSfWXXuOBZWb9C9ysXEAfvDDWcDgow==</t>
  </si>
  <si>
    <t>49OYmMnEOLND1PcXufiehxBEdlMBpg/VGUyLFpi7DGriN3GacM0rgPvq+auQX6J6YiUiCjWAus2aA7+aizzRfg==</t>
  </si>
  <si>
    <t>Electric Vehicle Supply Equipment – Level 2</t>
  </si>
  <si>
    <t>3a1aMkb0PONTGeJ5srTx++phMBKOC5xnQcRzEdpRtKmcVvL51p2anxzXSxI/XVZZAyE7iYVqH43iGlao5WMMUw==</t>
  </si>
  <si>
    <t>8vdJAexsbEvjuj405a9aJ7Zxq+zI/g7bmvughqdc+1lqqXkGVoCgYDSexyml1nZlqW/bubsL4AnyQS9hckcHXQ==</t>
  </si>
  <si>
    <t>Electric Water Heater</t>
  </si>
  <si>
    <t>QepvxaWiaPfoXxTEXAV9v9PVIDmR3UBo3fccAtPQ2UevqUMhe5bHGX0W9N6FoSD6rwFh1RKNsI0sVIMtA9b6bw==</t>
  </si>
  <si>
    <t>PLJXsOGMDyp+KmZt3N5wI0x5cpTcUU8UiPg6MXud69gjqE6iDp0zHPFnujRKcokXqnj5npI1mYQ4ZBdSYWWGoQ==</t>
  </si>
  <si>
    <t>Electrify Food Preparation Equipment</t>
  </si>
  <si>
    <t>bDA5zese6WPa02lZqLzvvXTG/fUDzQ/owAcclK8ylElomE74ZNtSruRscgj8R4XbiuZzHMZOAu3uR54iu0JLyw==</t>
  </si>
  <si>
    <t>GNO9g3lPH1bJzkY2pVkOiTzMUBYunEUjXGze1p657VRpCRjCz1NcW+icg41MhFbmW9uwwa43Ghx9EmdgSIZugQ==</t>
  </si>
  <si>
    <t>Electronically commutated motor pumps</t>
  </si>
  <si>
    <t>7Ds+HDgaHJ2rNFUrFNdpr7MsAHt3k2V7XTC4ZxW1awQwjcw+0eCznwV6k58y7ON34nu3ag1B7fR5Q/9YPs7NTA==</t>
  </si>
  <si>
    <t>BEAxwnNwp+XQhh1BrVGn7tb4QhBrzwA6h0Lc+DGILaL9CSoixbMf9g0knWt/V5k0LEsO0+A5/rjmUKGoN7rF9Q==</t>
  </si>
  <si>
    <t>5OlT6B+psncjal559jFl8SaG0UFlM4hwQzs+qaLCf7+33haZlMtTuFj9ljpQYlCw5gnqedfwUfHNhT6YE1pTtQ==</t>
  </si>
  <si>
    <t>EzHtscUdZ53eUJgcAICi/4c4DXhIvZS39IvS8RxRiUcysDwTfNTIe9cG0CFagaJVugCTVMitLvWrPDjZpOj7Lg==</t>
  </si>
  <si>
    <t>CRCaLn5MPk0kbO8t67UQjGl9rpvLIy7XuDpjS4R6ydbly9nTua90tdE257BB2B0rwDUH1ok4kLMbiXrDw46EgA==</t>
  </si>
  <si>
    <t>clyPpC7KIgL5qy8ZzgD6Fveyf7iZ/qQ7echlDBuv+bfI3m8i3hqNyYumkG2YCbol9aoyRF1uFj9GDcLggzxbJA==</t>
  </si>
  <si>
    <t>XjVj+KDNDzPNvoNE4OxmbztXV4PY1KwPosvsc3gH0WjENiqaXGlke7JXx8q1T/ivGLYHgwHBjpJSvnt3I1LzQA==</t>
  </si>
  <si>
    <t>oYYj6OCu8M56PHgri6KiDoeK+ksFNHWgv7qMi7tb+W/vyR2TtvNsJfgJBG3bM/fCSk9cFDdaQUy3OFhngAqlWw==</t>
  </si>
  <si>
    <t>XN9z5N/Q30ywA8dENS0q5Z/A6BxUNaOJxdqAJ9wuwaHfvKZgRt+pXyt9izKo11jKj1f9KqW7AAxWjBQCE3bK4Q==</t>
  </si>
  <si>
    <t>jfp/s6UkYiKMvOgIEQbop0f45FtBNiA6C56FmjrNXkT+GAyT9zfnzkqvzeH/iXhQwxDHwe/OKcHwqNAfMN2+Yg==</t>
  </si>
  <si>
    <t>WkpH4anDmNACgnWRPlp5QnU/5lED8qGsHcrXCap3jlrd6OLmxG8vov/nEnicaOvYLe4qg0eIbauYDO8XRupRrQ==</t>
  </si>
  <si>
    <t>Energy Star Freezers</t>
  </si>
  <si>
    <t>9Xg9aKewx1OXU9bVPakADy/twAXArItGisjxmsASHxa6fbELPfCfyLOv5n2XWX2J5cCpJm2qemrymzMXOQEcVA==</t>
  </si>
  <si>
    <t>Exhaust Air Heat Recovery Heat Pump</t>
  </si>
  <si>
    <t>fIumhg7odS+3u6VaKpl+qcM0Z8ip9ABQXgONZopcDPgg5dwDKEg8k+kAB9CbNY99188ZlxgsvG4wNbIlEdD8iw==</t>
  </si>
  <si>
    <t>Exhaust hood demand ventilation controls</t>
  </si>
  <si>
    <t>pKbxbps+YlvKBWXr2O+Z+YaILBZDcZw2oVAhl088h5r91Z/EzXT7Y5nzwGzoe21zxfHiXp4QK71OgCRezHv7Cw==</t>
  </si>
  <si>
    <t>Exterior LED Signage</t>
  </si>
  <si>
    <t>ZbRK8j0sJxF9/9oL8vhBrrDlQqyl7oDPx+L3LtAhqFr/qv1VaSORmbhHpqiotyH/lG+fhDUCkCY+O8+LL2Ocpg==</t>
  </si>
  <si>
    <t>VOswbuh0YjolyRoygsmXWptjKRKPKdCAZHmbieC/F/96GM4Q1RGBxS5nDVlDHMN3zLXmJf/JNeR7GbD26oZDoQ==</t>
  </si>
  <si>
    <t>Exterior Lighting Control</t>
  </si>
  <si>
    <t>VoSw6VdODY73FpHGmN+EvZKLqRYfBl9rlj2c9OWJnGdGdnAe6wKYQLcanVES1agbeKqMt+WWvBdAtnHZwozfFA==</t>
  </si>
  <si>
    <t>ebYmVro+uYcXI+2Qe3sbBhOV6ANOXMqio40fjJ3t7ZW12o9ucdmgt8R5n1M/Yl5FryYw/w3XcpSNVdL7yTtoGQ==</t>
  </si>
  <si>
    <t>Exterior LPD Reduction</t>
  </si>
  <si>
    <t>NxvCjTTLbq5CHJdAQPTsQGZg7jLB9l3xSoKj3wNRN5W9e0tVIlV94n4LrQ880ws6O28QqWUqUeEC2InmfPXv9g==</t>
  </si>
  <si>
    <t>MlmjORpzU0KPoznndlF84+m7+tbLUMTHo+14/IC1/NB0qJnyYYxzBWk+r9UQ1Tmp0D+fF0Poq3l8R4KxWxKpLg==</t>
  </si>
  <si>
    <t>rvFuxZ9gHz1A11sklLYS18PWOc/DO0BTCd/BhXfndKXxBfC8jJEvEAPH1jd7Djao7UIU3KiHUWhdh8hAGiJ7Sg==</t>
  </si>
  <si>
    <t>Fan and pump upgrade</t>
  </si>
  <si>
    <t>CoLjAlNyXiJzkNWARIHJT8KNt+MWIUjLDX1jCXLEHGg1IoiVLOKd1jwHp7QnhsTmnivYIxF4pCHpCNvZ7RfvHg==</t>
  </si>
  <si>
    <t>4V6cbjEjrvZgQrSvJ2hLKRWWrHEfJfUEpBlfArssI3ezUBk+LlJDDBIp/VXyve4dAGPDDMB/f7Fm5TKt16zhmQ==</t>
  </si>
  <si>
    <t>Floating head pressure control</t>
  </si>
  <si>
    <t>Y5NvZu7Ab8BPSn5O3OB+aChMwQYZhNAvcHLNSfHQ5SmZI2IUfsfHB0UW2HfBt2JkHjfXJZ1AlE/ufzMo5pYUOg==</t>
  </si>
  <si>
    <t>961RAuUnRxppf0aVPvzWT/8+LYHyH7Zt2T3C0PmlkMIQde3pDqQ4bphXA4nRpPN6rRLmny6Fz8CfBqNxvXwUxw==</t>
  </si>
  <si>
    <t>8PVWaMBRLCKyd+QMdecFn9iPFgtpjhotqgcdHV0BAXBUakIBHxi+yiipe7TQUfNP7vF5FDaOpx9H2XL/pvfoug==</t>
  </si>
  <si>
    <t>Free cooling retrofit / airside economizer / water side economizer</t>
  </si>
  <si>
    <t>7Xn/I17TnKk98Wmua2NDZoS5A0aF+DclMINv7/SxKXllP8WDJvO9fvfAdKt6H3CcVTGoGzoMHFH7KUYshojp6Q==</t>
  </si>
  <si>
    <t>C+vmBF03n0s0LdxELlWYue7QBfIXw4+GsxVUetQDz8Mg2AUaGVABJR5Nty8OfCsUH/XWgk3L79zhqUJk1fkABw==</t>
  </si>
  <si>
    <t>thKvbqc967YOefdjNVDyE6dysiErreZXBLwLMi4ZVUyPww4rWaeeMsc9mifKFeqen0FvoSnrRaTdg2LZb2GJhw==</t>
  </si>
  <si>
    <t>cSSC84pK8JLfBq4Xw+yCzS/cYDGipZzVLTAs9GvKE/dJ5chYeePvwvSuD1GIFcL6JA+gcurbV2olEKP6uKuV/A==</t>
  </si>
  <si>
    <t>4g/Oi8VHfS8gE4MvChd4hu1qrTYdytggKTGNpT9j90ZHHkBiOAyRUpuC1BG5+M0jzizMkxuX2PxHQHEQCJ/4ZA==</t>
  </si>
  <si>
    <t>gBm3H0xEPeT3fwaazRCBaUg8qCUnw2PVS4nZ4uVCzPrsMso6REnYeYXXhkjEtyWncr+bRUt7V2OcbsbBndI9PQ==</t>
  </si>
  <si>
    <t>IE4E/zpP+HkfaQ0ocD0eigd+/ga91+JZ+nh2sizSd4JIOoOVr9mr5vGj9gvZIVhfj+U2p+T8CgTtYVOgILVocw==</t>
  </si>
  <si>
    <t>UgUAxfO+Al/GzJjSgL1gEtOB5fNzxRFinVWYphyNY0TfXU2iB8Yy7PubRPWiwvtWrxNC0kIiZkHESzymFrXF5w==</t>
  </si>
  <si>
    <t>Ytg5RJuYXLNZR9Yz8GEIENhBODHnTSRQ+YsZfiT7NSRHXijRJxHEBLG1ZBVsqeRba69HNDR/W3xy9amFkOS6GA==</t>
  </si>
  <si>
    <t>LZznEOGgR/dT7JXRHiAHZej3luuAKOBNFKFEaXmWVid1xIYOS7W7Gt2xLH5Xmv5od/h7adBEjllGCzj/qH26hQ==</t>
  </si>
  <si>
    <t>g66icnmXH/AX4eMtWO+6GuJXbHnyldEDwYktGjX3nV/d8urJEnGMSWwMD924IvrN8U1y2SKDAbwnp61XgBDT3w==</t>
  </si>
  <si>
    <t>Glass/acrylic case doors; zero heat reach in glass door</t>
  </si>
  <si>
    <t>qQB+U3HAfUdB1jXzWR1ppGiXfXTJq7mryUPRRYdpjYRkralt/4doHLwbCoxOlN3GzqUvSCDEj+/1J+joMgwnrA==</t>
  </si>
  <si>
    <t>6rBDN+0Lay66qJnFMt4W0vCdXZ1k+AklXw6tJ3E5SL/jDyYP7kJY6XWvSJcHHtLXozjJZJEnDPtJUpyF3o+xiA==</t>
  </si>
  <si>
    <t>ssML1FVN2bFcDIBIwRG6UNpR3Yvr1Y+tkdlCqVby7C07Gq/Gc/soVl0el3urnSADHzCKmBXZhNptSTZJw6Jv3g==</t>
  </si>
  <si>
    <t>Ground Source Heat Pump</t>
  </si>
  <si>
    <t>Heat Recovery Chiller</t>
  </si>
  <si>
    <t>Heat recovery for domestic hot water pre-heat</t>
  </si>
  <si>
    <t>Heat recovery upgrade/ retrofit</t>
  </si>
  <si>
    <t>Heating equipment upgrade including heat pumps and packaged HVAC</t>
  </si>
  <si>
    <t>Heating or cooling control upgrade</t>
  </si>
  <si>
    <t>High Efficiency Boiler</t>
  </si>
  <si>
    <t>High efficiency chiller, chiller/ cooler upgrade</t>
  </si>
  <si>
    <t>High Efficiency Glazing</t>
  </si>
  <si>
    <t>High Speed Doors</t>
  </si>
  <si>
    <t>High-efficiency (&gt;75%) HRV</t>
  </si>
  <si>
    <t>HVAC time clock control</t>
  </si>
  <si>
    <t>Impeller trim</t>
  </si>
  <si>
    <t>Induction motor ≤ 50 hp, Efficiency increase beyond Premium</t>
  </si>
  <si>
    <t>Induction motor up to 500 hp in New Construction, Efficiency increase beyond Premium</t>
  </si>
  <si>
    <t>Induction motor, 51 – 500 hp, Replacement with Premium Efficiency motor instead of rewinding (per repair/ replace policy)</t>
  </si>
  <si>
    <t>Insulated Hot Food Holding Cabinet</t>
  </si>
  <si>
    <t>Interior Lighting Control</t>
  </si>
  <si>
    <t>Interior LPD Reduction</t>
  </si>
  <si>
    <t>LED luminaire and retrofit kit</t>
  </si>
  <si>
    <t>LED mogul screw-base replacements for HID lamps</t>
  </si>
  <si>
    <t>LED Refrigerated Lighting System per Door</t>
  </si>
  <si>
    <t>LED replaceable reflector lamp in non-residential setting (screw-in/snap-in)</t>
  </si>
  <si>
    <t>Low Flow Fixtures</t>
  </si>
  <si>
    <t>Luminaire Removal</t>
  </si>
  <si>
    <t>Natural Ventilation</t>
  </si>
  <si>
    <t>Network Lighting Control with Energy Monitoring</t>
  </si>
  <si>
    <t>Network Lighting Control without Energy Monitoring</t>
  </si>
  <si>
    <t>New lighting controls including time clocks, occupancy sensors or photocells</t>
  </si>
  <si>
    <t>New transformers, 15 to 7500kVA, dry or liquid filled</t>
  </si>
  <si>
    <t>Non-LED lighting redesign for lower power density</t>
  </si>
  <si>
    <t>Occupancy and temperature sensor</t>
  </si>
  <si>
    <t>Operational and procedural measures (including equipment shut down when not in use, set point adjustment, maintenance and tuning for improved performance) not supported by a formal sustainment plan</t>
  </si>
  <si>
    <t>Operational and procedural measures supported by a formal sustainment plan to maintain savings (e.g.: Energy Manager)</t>
  </si>
  <si>
    <t>Organic Rankine Cycle</t>
  </si>
  <si>
    <t>Parkade ceiling insulation</t>
  </si>
  <si>
    <t>PROCESS Air-to-Water Heat Pump</t>
  </si>
  <si>
    <t>Process control affecting operating time by using secured (locked) hardwired devices/ PLCs</t>
  </si>
  <si>
    <t>PROCESS Electric Boiler</t>
  </si>
  <si>
    <t>PROCESS Heat Recovery Chiller</t>
  </si>
  <si>
    <t>PROCESS Rooftop Air-to-Water Heat Pump</t>
  </si>
  <si>
    <t>PROCESS Water-to-Water Heat Pump</t>
  </si>
  <si>
    <t>Programmable/ Smart Thermostat</t>
  </si>
  <si>
    <t>Reduced header pressure</t>
  </si>
  <si>
    <t>Reduced standby losses for plug load</t>
  </si>
  <si>
    <t>Refrigerator display case with doors, low/medium temp</t>
  </si>
  <si>
    <t>Refrigerators</t>
  </si>
  <si>
    <t>Renewable Energy (solar thermal)</t>
  </si>
  <si>
    <t>Roof Insulation Increase</t>
  </si>
  <si>
    <t>Rooftop Air-to-Air Heat Pump</t>
  </si>
  <si>
    <t>Rooftop Air-to-Air Heat Pump Make Up Air Unit with Electric Backup</t>
  </si>
  <si>
    <t>Rooftop Air-to-Air Heat Pump Make Up Air Unit with Gas Backup</t>
  </si>
  <si>
    <t>Rooftop Air-to-Air Heat Pump Mixed Air Unit with Electric Backup</t>
  </si>
  <si>
    <t>Rooftop Air-to-Air Heat Pump Mixed Air Unit with Gas Backup</t>
  </si>
  <si>
    <t>Rooftop Air-to-Air Heat Pump Mixed Air Unit with Gas Backup and High-efficiency (&gt;75%) HRV</t>
  </si>
  <si>
    <t>Rooftop Air-to-Water Heat Pump</t>
  </si>
  <si>
    <t>Screw or snap in HID lamps</t>
  </si>
  <si>
    <t>Server virtualization</t>
  </si>
  <si>
    <t>Sewage Heat Recovery Heat Pump</t>
  </si>
  <si>
    <t>Shading (concrete)</t>
  </si>
  <si>
    <t>Shading (motorized)</t>
  </si>
  <si>
    <t>Solar Panel PV</t>
  </si>
  <si>
    <t>Solar Panel Thermal</t>
  </si>
  <si>
    <t>Switch from compressed air to a more efficient end use</t>
  </si>
  <si>
    <t>Tubular LED Lamps</t>
  </si>
  <si>
    <t>Ventilation control upgrade</t>
  </si>
  <si>
    <t>Wall Insulation Increase</t>
  </si>
  <si>
    <t>Waste heat reclaim</t>
  </si>
  <si>
    <t>Water distribution piping retrofit</t>
  </si>
  <si>
    <t>Water heater controls</t>
  </si>
  <si>
    <t>Water Source VRF Distributed Heat Pumps</t>
  </si>
  <si>
    <t>Water-to-Water Heat Pump</t>
  </si>
  <si>
    <t>Summary Table</t>
  </si>
  <si>
    <t>Total Opportunity Savings</t>
  </si>
  <si>
    <t>% Savings</t>
  </si>
  <si>
    <t>To refresh Dasboards press Ctrl-Alt-F5, or
in Data Ribbon, press "Refresh All"</t>
  </si>
  <si>
    <t>Energy (kWh)</t>
  </si>
  <si>
    <t>Demand (kW)</t>
  </si>
  <si>
    <t>Fuel GJ</t>
  </si>
  <si>
    <t>Cost ($)</t>
  </si>
  <si>
    <t>Opportunity Savings Summary</t>
  </si>
  <si>
    <t>Opportunity Savings Analysis</t>
  </si>
  <si>
    <t>BC Hydro Substation Peak Demand Savings  (kW)</t>
  </si>
  <si>
    <t>Dashboard -  Energy Opportunity Results</t>
  </si>
  <si>
    <t>Energy Use Breakdown</t>
  </si>
  <si>
    <t>Summary of Energy Opportunities by End Use</t>
  </si>
  <si>
    <t>Monthly Demand Savings (kW)</t>
  </si>
  <si>
    <t>Electricity Savings (kWh/yr)</t>
  </si>
  <si>
    <t>Fuel Savings
(GJ/y)</t>
  </si>
  <si>
    <t xml:space="preserve">Annual Cost Savings
($/y) </t>
  </si>
  <si>
    <t>Implementation Cost  ($)</t>
  </si>
  <si>
    <t>(blank)</t>
  </si>
  <si>
    <t>Summary of Energy Opportunities by Initiative</t>
  </si>
  <si>
    <t>Initiative Type</t>
  </si>
  <si>
    <t>Sum of Customer Electricity Demand Savings
(kW/month)</t>
  </si>
  <si>
    <t>Sum of Electricity Savings Estimate
(kWh/y)</t>
  </si>
  <si>
    <t>Sum of Fuel Savings Estimate
(GJ/y)</t>
  </si>
  <si>
    <t xml:space="preserve">Sum of Annual Cost Savings
Total
($/y) </t>
  </si>
  <si>
    <t>Sum of Implementation Cost estimate ($)</t>
  </si>
  <si>
    <t>Electricity Savings Estimate (kWh/y)</t>
  </si>
  <si>
    <t>Customer Electricity Demand Savings (kW/mo)</t>
  </si>
  <si>
    <t>Sum of Annual Cost Savings</t>
  </si>
  <si>
    <t>Space Heating</t>
  </si>
  <si>
    <t>Category</t>
  </si>
  <si>
    <t>Priority</t>
  </si>
  <si>
    <t>Status</t>
  </si>
  <si>
    <t>Pulp and Paper Systems</t>
  </si>
  <si>
    <t>Paper Produce End Uses</t>
  </si>
  <si>
    <t>DSM Type</t>
  </si>
  <si>
    <t>Numbers</t>
  </si>
  <si>
    <t>Service</t>
  </si>
  <si>
    <t>Rate</t>
  </si>
  <si>
    <t>cost/kWh</t>
  </si>
  <si>
    <t>Rate2</t>
  </si>
  <si>
    <t>Cost/KW</t>
  </si>
  <si>
    <t>Energy System in Use</t>
  </si>
  <si>
    <t>Industry Type</t>
  </si>
  <si>
    <t>Building Type</t>
  </si>
  <si>
    <t>Audit Scope</t>
  </si>
  <si>
    <t>GHG Emission Factor (tCO2)</t>
  </si>
  <si>
    <t>Conversion</t>
  </si>
  <si>
    <t>Column1</t>
  </si>
  <si>
    <t>Fuel</t>
  </si>
  <si>
    <t>Conversion (GJ/L)</t>
  </si>
  <si>
    <t>Energy Feasibility Study</t>
  </si>
  <si>
    <t>High</t>
  </si>
  <si>
    <t>Completed</t>
  </si>
  <si>
    <t>Pulping</t>
  </si>
  <si>
    <t>Combined Heat and Power (Cogeneration)</t>
  </si>
  <si>
    <t>Transmission</t>
  </si>
  <si>
    <t>Yes</t>
  </si>
  <si>
    <t>Aluminum</t>
  </si>
  <si>
    <t>Convention Centre</t>
  </si>
  <si>
    <t>Propane</t>
  </si>
  <si>
    <t>LCE Study</t>
  </si>
  <si>
    <t>Medium</t>
  </si>
  <si>
    <t>In progress</t>
  </si>
  <si>
    <t>Rejects/Re-Pulping</t>
  </si>
  <si>
    <t>Cooking</t>
  </si>
  <si>
    <t>Distribution</t>
  </si>
  <si>
    <t>No</t>
  </si>
  <si>
    <t>Cement</t>
  </si>
  <si>
    <t>Court House</t>
  </si>
  <si>
    <t>Load Management Audit</t>
  </si>
  <si>
    <t>Natural Gas</t>
  </si>
  <si>
    <t>End-Use Assessment</t>
  </si>
  <si>
    <t>Low</t>
  </si>
  <si>
    <t>On hold</t>
  </si>
  <si>
    <t>Paper Machines</t>
  </si>
  <si>
    <t>Electrochemical Processes</t>
  </si>
  <si>
    <t>Lighting (Exterior)</t>
  </si>
  <si>
    <t>Chemical</t>
  </si>
  <si>
    <t>Dining: Bar / Lounge / Leisure</t>
  </si>
  <si>
    <t>Energy Scan</t>
  </si>
  <si>
    <t>Diesel</t>
  </si>
  <si>
    <t>Incentive Application</t>
  </si>
  <si>
    <t>Pending</t>
  </si>
  <si>
    <t>Brownstock</t>
  </si>
  <si>
    <t>Fan and Blowers</t>
  </si>
  <si>
    <t>Lighting (Interior)</t>
  </si>
  <si>
    <t>Fabricated metal products</t>
  </si>
  <si>
    <t>Dining: Cafeteria / Fast Food</t>
  </si>
  <si>
    <t>Gasoline</t>
  </si>
  <si>
    <t>Program Enable</t>
  </si>
  <si>
    <t>Scheduled</t>
  </si>
  <si>
    <t>Bleaching</t>
  </si>
  <si>
    <t>Industrial Facilities (Lighting)</t>
  </si>
  <si>
    <t>Miscellaneous</t>
  </si>
  <si>
    <t>Food, Beverage and tabaco products</t>
  </si>
  <si>
    <t>Dining: Family</t>
  </si>
  <si>
    <t>Light Fuel Oil</t>
  </si>
  <si>
    <t>O&amp;M</t>
  </si>
  <si>
    <t>See notes</t>
  </si>
  <si>
    <t>Chips and Hog</t>
  </si>
  <si>
    <t>Industrial Facilities (HVAC)</t>
  </si>
  <si>
    <t>Fans</t>
  </si>
  <si>
    <t>Foundries</t>
  </si>
  <si>
    <t>Dormitory</t>
  </si>
  <si>
    <t>Heavy Fuel Oil</t>
  </si>
  <si>
    <t>Awareness and Training</t>
  </si>
  <si>
    <t>Not applicable</t>
  </si>
  <si>
    <t>Mill Water/Effluent</t>
  </si>
  <si>
    <t>Material Handling</t>
  </si>
  <si>
    <t>Plug Loads</t>
  </si>
  <si>
    <t>DemandResponse</t>
  </si>
  <si>
    <t>Glass Products</t>
  </si>
  <si>
    <t>Gymnasium</t>
  </si>
  <si>
    <t xml:space="preserve">Capital </t>
  </si>
  <si>
    <t>Steam Generation/Power Boiler</t>
  </si>
  <si>
    <t>Material Processing</t>
  </si>
  <si>
    <t>Commercial Incentive: Peak Saver</t>
  </si>
  <si>
    <t>Heavy Machinery</t>
  </si>
  <si>
    <t>Healthcare-Clinic</t>
  </si>
  <si>
    <t>Process Optimization</t>
  </si>
  <si>
    <t>Sawmill</t>
  </si>
  <si>
    <t>Process Coolings and Refrigeration</t>
  </si>
  <si>
    <t>Commercial Incentive: Peak Rewards</t>
  </si>
  <si>
    <t>Integrated Steel</t>
  </si>
  <si>
    <t>High School</t>
  </si>
  <si>
    <t>Electricity</t>
  </si>
  <si>
    <t>Planer</t>
  </si>
  <si>
    <t>Process Heating</t>
  </si>
  <si>
    <t>Industrial Incentive: Custom</t>
  </si>
  <si>
    <t>Mining</t>
  </si>
  <si>
    <t>Hospital</t>
  </si>
  <si>
    <t>Kiln/Drying</t>
  </si>
  <si>
    <t>Space Cooling</t>
  </si>
  <si>
    <t>Petroleum Refinig</t>
  </si>
  <si>
    <t>Hotel</t>
  </si>
  <si>
    <t>Warehousing/Shipping</t>
  </si>
  <si>
    <t>Steam Generation Equipment</t>
  </si>
  <si>
    <t>Energyefficiency</t>
  </si>
  <si>
    <t>Plastic and rubber Products</t>
  </si>
  <si>
    <t>Ice Arenas</t>
  </si>
  <si>
    <t>Generation</t>
  </si>
  <si>
    <t>Mobile Equipment (LCE)</t>
  </si>
  <si>
    <t>Custom 1</t>
  </si>
  <si>
    <t>Ventilation Heating</t>
  </si>
  <si>
    <t xml:space="preserve"> Energy Study</t>
  </si>
  <si>
    <t>Textile and Apparels and Leather goods</t>
  </si>
  <si>
    <t>Institutional</t>
  </si>
  <si>
    <t>All</t>
  </si>
  <si>
    <t>Custom 2</t>
  </si>
  <si>
    <t xml:space="preserve">Domestic Hot Water </t>
  </si>
  <si>
    <t>Continuous Optimization</t>
  </si>
  <si>
    <t>Transportation equipment</t>
  </si>
  <si>
    <t>Laboratory / research</t>
  </si>
  <si>
    <t>Custom 3</t>
  </si>
  <si>
    <t>Others</t>
  </si>
  <si>
    <t>Commercial Incentive: BESI</t>
  </si>
  <si>
    <t>Wood products, Pulp and Paper</t>
  </si>
  <si>
    <t>Large grocery</t>
  </si>
  <si>
    <t>Commercial Incentive: Custom</t>
  </si>
  <si>
    <t>Library</t>
  </si>
  <si>
    <t>Low-rise office</t>
  </si>
  <si>
    <t>Miscellaneous space</t>
  </si>
  <si>
    <t>Lowcarbonelectrification</t>
  </si>
  <si>
    <t>Motel</t>
  </si>
  <si>
    <t>CleanBC Custom / Lite Study</t>
  </si>
  <si>
    <t>Motion Picture Theatre</t>
  </si>
  <si>
    <t>Commercial Incentive: CleanBC Express</t>
  </si>
  <si>
    <t>Multi-Family</t>
  </si>
  <si>
    <t>Industrial  LCE Study</t>
  </si>
  <si>
    <t>Museum</t>
  </si>
  <si>
    <t>Nursing home</t>
  </si>
  <si>
    <t>Distributedgeneration</t>
  </si>
  <si>
    <t>Office - Large</t>
  </si>
  <si>
    <t>Custom Study</t>
  </si>
  <si>
    <t>Office - Medium</t>
  </si>
  <si>
    <t>Parking Garage</t>
  </si>
  <si>
    <t>Performing Arts Theatre</t>
  </si>
  <si>
    <t>Police / Fire Station</t>
  </si>
  <si>
    <t>Post Office</t>
  </si>
  <si>
    <t>Primary School</t>
  </si>
  <si>
    <t>Prison</t>
  </si>
  <si>
    <t>Recreation Centre</t>
  </si>
  <si>
    <t>Religious Building</t>
  </si>
  <si>
    <t>Restaurant</t>
  </si>
  <si>
    <t>Retail - large</t>
  </si>
  <si>
    <t>Retail - small</t>
  </si>
  <si>
    <t>Shopping mall</t>
  </si>
  <si>
    <t>Single system</t>
  </si>
  <si>
    <t>Specialty shop / space</t>
  </si>
  <si>
    <t>Sports Arena</t>
  </si>
  <si>
    <t>Swimming pools</t>
  </si>
  <si>
    <t>Transport terminal</t>
  </si>
  <si>
    <t>University/College</t>
  </si>
  <si>
    <t>Warehouse</t>
  </si>
  <si>
    <t>Warehouse - refrigerated</t>
  </si>
  <si>
    <t>Workshop</t>
  </si>
  <si>
    <t>BC Hydro 2023 General Service Rates</t>
  </si>
  <si>
    <t>General Service Business Rates</t>
  </si>
  <si>
    <t>Rate Schedule</t>
  </si>
  <si>
    <t>Basic Charge
per Day</t>
  </si>
  <si>
    <t>Energy Charge
per kWh</t>
  </si>
  <si>
    <t>Demand Charge
per kW</t>
  </si>
  <si>
    <t>Discount on entire bill (metered at primary potential)</t>
  </si>
  <si>
    <t>Discount per kW (customer supplies transformer)</t>
  </si>
  <si>
    <t>Energy Charge
(with discount) per kWh</t>
  </si>
  <si>
    <t>Demand Charge (with discount)
per kW</t>
  </si>
  <si>
    <t>SGS</t>
  </si>
  <si>
    <t>MGS</t>
  </si>
  <si>
    <t>LGS</t>
  </si>
  <si>
    <t xml:space="preserve">The Small General Service rate is for business customers with an annual peak demand less than 35 kW. They receive service under rate schedules 1300, 1301, 1310, or 1311 of the Electric Tariff. </t>
  </si>
  <si>
    <t xml:space="preserve">The Medium General Service rate is for business customers with an annual peak demand between 35 and 150 kW, and that use less than 550,000 kWh of electricity per year. They receive service under rate schedules 1500, 1501, 1510, or 1511 of the Electric Tariff. </t>
  </si>
  <si>
    <t xml:space="preserve">Migration rules from Medium General Service: </t>
  </si>
  <si>
    <t xml:space="preserve">Customers taking service under Medium General Service will be moved to service under Rate Schedules 1600, 1601, 1610 or 1611 (Large General Service) if: 
</t>
  </si>
  <si>
    <t>Billing Demand in half of the last 12 Billing Periods was 150 kW or more, or if total Energy consumption in any 12 consecutive month period exceeded 550,000 kWh.</t>
  </si>
  <si>
    <t>The Large General Service rate is for business customers with an annual peak demand of at least 150 kW, or that use more than 550,000 kWh of electricity per year. They receive service under rate schedules 1600, 1601, 1610, or 1611 of the Electric Tariff.</t>
  </si>
  <si>
    <t>EE</t>
  </si>
  <si>
    <t>LCE</t>
  </si>
  <si>
    <t>Windows</t>
  </si>
  <si>
    <t>End-use</t>
  </si>
  <si>
    <t>Small General Service</t>
  </si>
  <si>
    <t>Medium General Service</t>
  </si>
  <si>
    <t>Large General Service</t>
  </si>
  <si>
    <t xml:space="preserve">Commercial </t>
  </si>
  <si>
    <t xml:space="preserve">Data Server </t>
  </si>
  <si>
    <t xml:space="preserve">LCE - Domestic Hot Water </t>
  </si>
  <si>
    <t xml:space="preserve">Food Preparation </t>
  </si>
  <si>
    <t xml:space="preserve">LCE - Food Preparation </t>
  </si>
  <si>
    <t>LCE - Electricity Supply</t>
  </si>
  <si>
    <t xml:space="preserve">LCE - Swimming Pool Water Heating </t>
  </si>
  <si>
    <t>Energy Storage</t>
  </si>
  <si>
    <r>
      <t xml:space="preserve">Improved Controls </t>
    </r>
    <r>
      <rPr>
        <sz val="12"/>
        <color theme="1"/>
        <rFont val="Calibri"/>
        <family val="2"/>
      </rPr>
      <t>including Flow Sequencer</t>
    </r>
  </si>
  <si>
    <r>
      <t>Operational and procedural measures (including: compressed air leak repair, equipment shut down when not in use, set point adjustment, maintenance and tuning for improved performance)</t>
    </r>
    <r>
      <rPr>
        <sz val="12"/>
        <color theme="1"/>
        <rFont val="Calibri"/>
        <family val="2"/>
      </rPr>
      <t xml:space="preserve"> not supported by a formal sustainment plan</t>
    </r>
  </si>
  <si>
    <t>Heat Pump Hot Water Heater</t>
  </si>
  <si>
    <t xml:space="preserve">Adjustable Speed Drive with a programmed set point or controlled by a feedback signal from a process variable (not operator adjustable) </t>
  </si>
  <si>
    <t>Commercial Operational and Procedural Measures Including: Control Resets and Rescheduling; Heating, Cooling, Hot Water, Air Handling, and Refrigeration Systems Optimization; Fan Motor and Pump Rescheduling; Supply Air Temperature Reset; Unoccupied Setback; System Lockout.</t>
  </si>
  <si>
    <t>Operational and Procedural Measures Supported by a Formal Sustainment Plan to Maintain Savings</t>
  </si>
  <si>
    <t xml:space="preserve">Coil Cleaning </t>
  </si>
  <si>
    <t>Commercial Operational and Procedural Measures for Hybrid Heat Pump Systems Heating and Hot Water Systems Optimization: Loop Temperature Reset; Equipment Staging; System Lockout; Unoccupied Setbacks.</t>
  </si>
  <si>
    <t>Operational and Procedural Measures (including:  equipment shut down when not in use, set point adjustment, maintenance and tuning for improved performance) Not Supported by a Formal Sustainment Plan</t>
  </si>
  <si>
    <t>Operational and Procedural Measures (including: equipment shut down when not in use, set point adjustment, maintenance and tuning for improved performance) Not Supported by a Formal Sustainment Plan</t>
  </si>
  <si>
    <t xml:space="preserve">Consolidation/Removal of IT Legacy Equipment </t>
  </si>
  <si>
    <t>Operational and Procedural Measures (including: leak repair, equipment shut down when not in use, set point adjustment, maintenance and tuning for improved performance) Not Supported by a Formal Sustainment Plan</t>
  </si>
  <si>
    <t>Variable Speed Drive with a programmed set point or controlled by a feedback signal from a process variable (not operator adjustable) – Compressors</t>
  </si>
  <si>
    <t>Battery Energy Storage System</t>
  </si>
  <si>
    <t>Thermal Storage</t>
  </si>
  <si>
    <t>Energy Efficiency (EE)</t>
  </si>
  <si>
    <t>Low Carbon Electrification (LCE)</t>
  </si>
  <si>
    <t>Load Displacement (LD)</t>
  </si>
  <si>
    <t>Demand Response (DR)</t>
  </si>
  <si>
    <t>Lighting control - New</t>
  </si>
  <si>
    <t>Energy Measure</t>
  </si>
  <si>
    <t>Building's Electrical System Information</t>
  </si>
  <si>
    <t>The Basic Information section is designed to collect preliminary information required for the energy scan activities including: Building contact information, energy information, operating schedule and energy consumption by system.</t>
  </si>
  <si>
    <t>Building Contact Information</t>
  </si>
  <si>
    <t>Fuel Savings Estimate (GJ/y)</t>
  </si>
  <si>
    <t>Building Information</t>
  </si>
  <si>
    <t>Spare Capacity</t>
  </si>
  <si>
    <t>Comments and Recommendations:</t>
  </si>
  <si>
    <t xml:space="preserve">Opportunity Register </t>
  </si>
  <si>
    <t>Address:</t>
  </si>
  <si>
    <t>City:</t>
  </si>
  <si>
    <t>Email:</t>
  </si>
  <si>
    <t>Primary Contact:</t>
  </si>
  <si>
    <t>Year of Construction:</t>
  </si>
  <si>
    <t>Number of Floors:</t>
  </si>
  <si>
    <t>Parkade (Y/N):</t>
  </si>
  <si>
    <t>#</t>
  </si>
  <si>
    <t>Number of Suites:</t>
  </si>
  <si>
    <t>Number of Occupants:</t>
  </si>
  <si>
    <t>Construction Type:</t>
  </si>
  <si>
    <t>Window Pane:</t>
  </si>
  <si>
    <t>General Physical Condition:</t>
  </si>
  <si>
    <t>Building Overview</t>
  </si>
  <si>
    <t>Additional Description</t>
  </si>
  <si>
    <t>Suite Electric Meter:</t>
  </si>
  <si>
    <t>Commercial Electric Meter:</t>
  </si>
  <si>
    <t>Metering Information</t>
  </si>
  <si>
    <t>Source</t>
  </si>
  <si>
    <t>Suite Heating</t>
  </si>
  <si>
    <t>Suite Cooling</t>
  </si>
  <si>
    <t>Equipment Description</t>
  </si>
  <si>
    <t>Common Area Cooling</t>
  </si>
  <si>
    <t>Common Area Heating</t>
  </si>
  <si>
    <t>N/A</t>
  </si>
  <si>
    <t>Estimated Annual Electrical Consumption (kWh/y)</t>
  </si>
  <si>
    <t xml:space="preserve">Estimated Annual Fuel Consumption (GJ/y) </t>
  </si>
  <si>
    <t>Building Electrical Intensity</t>
  </si>
  <si>
    <t>Lighting, Plug Loads, Misc. Equipment and Others</t>
  </si>
  <si>
    <t>Common Electric Meter:</t>
  </si>
  <si>
    <t>Baseline Cost Estimate ($)</t>
  </si>
  <si>
    <t>Implementation Cost Estimate ($)</t>
  </si>
  <si>
    <t>Excellent</t>
  </si>
  <si>
    <t>Good</t>
  </si>
  <si>
    <t>Adequate</t>
  </si>
  <si>
    <t>Marginal</t>
  </si>
  <si>
    <t>Poor</t>
  </si>
  <si>
    <t>In new condition or free from defects</t>
  </si>
  <si>
    <t>Systems has far surpassed its useful life and require repair/replacement</t>
  </si>
  <si>
    <t>No longer new and may show slight defects or deterioration, but is overall functional</t>
  </si>
  <si>
    <t>Nearing the end of its expected life, has defective or deteriorated systems that require replacement</t>
  </si>
  <si>
    <t>Hybrid</t>
  </si>
  <si>
    <t>Baseline Cost Estimate ($):</t>
  </si>
  <si>
    <t>Drop down selection of High, Medium and Low.</t>
  </si>
  <si>
    <t>Notes:</t>
  </si>
  <si>
    <t>Select the measure type from the dropdown.</t>
  </si>
  <si>
    <t>Select end use from the dropdown list associated with the energy opportunity (BC Hydro defined).</t>
  </si>
  <si>
    <t>Briefly describe the opportunity.</t>
  </si>
  <si>
    <t>Select measure from the drop-down menu.</t>
  </si>
  <si>
    <t>Enter additional notes to clarify energy opportunity description or recommendations, concerns, issues or next steps. Notes should support the rationale behind the priority selection.</t>
  </si>
  <si>
    <t>Peak Load</t>
  </si>
  <si>
    <t>Building Energy Consumption by System:</t>
  </si>
  <si>
    <t>Order of magnitude estimate of energy savings per year (For Low Carbon Electrification please enter -'ve value). Expected accuracy is +/-50%. Where possible, utilize the end-use consumptions in the "Building Info" tab to constraint savings potential.</t>
  </si>
  <si>
    <t>- Provide contact information for Energy Auditor.</t>
  </si>
  <si>
    <t>- Provide information about the building size and location.</t>
  </si>
  <si>
    <t>- Provide contact information for Primary Contact.</t>
  </si>
  <si>
    <t>- Provide information for building overview, including additional information where applicable.</t>
  </si>
  <si>
    <t>- Select a fuel type</t>
  </si>
  <si>
    <t>- Input fuel consumption (in GJ)</t>
  </si>
  <si>
    <t>- Input Main Switch Information for Amps, Volts and Phase and Capacity (kW)</t>
  </si>
  <si>
    <t>- Provide information on which electrical meters are present and the associated rate structure</t>
  </si>
  <si>
    <t>- Provide a brief description of the end-use equipment</t>
  </si>
  <si>
    <t>- Provide additional comments and recommendations relating to electrical service upgrade needs to support electrification opportunities</t>
  </si>
  <si>
    <t>Order of magnitude estimate of fuel savings per year. Expected accuracy is +/-50%. Where possible, utilize the end-use consumptions in the "Building Info" tab to constraint savings potential.</t>
  </si>
  <si>
    <t>Measure Type</t>
  </si>
  <si>
    <t>Solar PV</t>
  </si>
  <si>
    <t>LCE - Transportation (EV Charging)</t>
  </si>
  <si>
    <t>EV charging</t>
  </si>
  <si>
    <t>Not Recommended for Implementation</t>
  </si>
  <si>
    <t>Apply through Solar and Battery Rebate Program</t>
  </si>
  <si>
    <t>Apply through EV Charging Rebate Program</t>
  </si>
  <si>
    <t>Solar and Battery</t>
  </si>
  <si>
    <t>Service Provider recommendation on next steps, based on measure type and complexity of the proposed system.</t>
  </si>
  <si>
    <t>Service Provider information</t>
  </si>
  <si>
    <t>Service Provider  Name:</t>
  </si>
  <si>
    <t>Order of magnitude estimate of like-for-like replacement costs to replace end-of-life equipment. If equipment is not at end-of-life, then enter $0. Expected accuracy is -50% to +100%.</t>
  </si>
  <si>
    <t>Order of magnitude estimate of proposed measure costs. This can be based on rule of thumb estimates while providing high-level adjustments for factors such as economies of scale, accessibility, available space, potential structural concerns, observed remediation needs, etc. Expected accuracy is -50% to +100%.</t>
  </si>
  <si>
    <t>Building's Energy Information</t>
  </si>
  <si>
    <t>Electricity Use Information</t>
  </si>
  <si>
    <t>Fuel Use Information</t>
  </si>
  <si>
    <t>Rebate</t>
  </si>
  <si>
    <t>Custom Project</t>
  </si>
  <si>
    <t>- Enter the source energy for the typical multi-family end-use categories</t>
  </si>
  <si>
    <t>Provides a sum total of all measures selected to proceed with next step by initiative type</t>
  </si>
  <si>
    <t>- Estimate the average annual electricity and fuel consumption for each end-use. Heating and cooling consumption can be determined through analyzing weather dependent consumption of monthly utility bills. Where applicable, domestic hot water consumption can be estimated based on rule of thumb metrics of consumption per suite. Expected accuracy is +/- 50%.</t>
  </si>
  <si>
    <t>All drop down lists are conditional to initiative and end uses. Ensure the Opportunity Register is completed in an orderly manner (Column left to right).</t>
  </si>
  <si>
    <t>Commercial Spaces (Y/N):</t>
  </si>
  <si>
    <t>This Multi-Unit Residential Building Retrofit Program (MURBRP) Opportunity Assessment Workbook provides a standard template to report and track energy opportunities identified during opportunity assessment activities. The color scheme will facilitate data entry. This document is divided into two sections described below:</t>
  </si>
  <si>
    <t>Rebate Lighting</t>
  </si>
  <si>
    <t>Prescriptive</t>
  </si>
  <si>
    <t>D12</t>
  </si>
  <si>
    <t>E12</t>
  </si>
  <si>
    <t>F12</t>
  </si>
  <si>
    <t>G12</t>
  </si>
  <si>
    <t>H12</t>
  </si>
  <si>
    <t>I12</t>
  </si>
  <si>
    <t>J12</t>
  </si>
  <si>
    <t>K12</t>
  </si>
  <si>
    <t>L12</t>
  </si>
  <si>
    <t>Q12</t>
  </si>
  <si>
    <t>R12</t>
  </si>
  <si>
    <t>S12</t>
  </si>
  <si>
    <r>
      <t xml:space="preserve">Rebate Workbook </t>
    </r>
    <r>
      <rPr>
        <sz val="11"/>
        <color theme="1"/>
        <rFont val="Calibri"/>
        <family val="2"/>
      </rPr>
      <t>→</t>
    </r>
    <r>
      <rPr>
        <sz val="11"/>
        <color theme="1"/>
        <rFont val="Arial"/>
        <family val="2"/>
      </rPr>
      <t xml:space="preserve"> Rebate Application</t>
    </r>
  </si>
  <si>
    <t>Feasibility Study of Rebate Measure → Rebate Application</t>
  </si>
  <si>
    <t>Custom Workbook (if study was done in the past 2 years) → Rebate Application</t>
  </si>
  <si>
    <t>Feasibility Study of Custom Measure → Rebate Application</t>
  </si>
  <si>
    <t>Multi-Unit Residential Building Retrofit Program (MURBRP)
Opportunity Assessment Workbook</t>
  </si>
  <si>
    <t>Parkade CO - HVAC controls</t>
  </si>
  <si>
    <t>Variable speed drive for motors, &lt;20 HP</t>
  </si>
  <si>
    <t>Variable speed drive for motors, &gt;20 HP</t>
  </si>
  <si>
    <t>Exterior LED signage</t>
  </si>
  <si>
    <t>Tubular LED lamps</t>
  </si>
  <si>
    <t>Central air source heat pump water heater, NEEA Tier 2 or 3</t>
  </si>
  <si>
    <t>In-suite all-in-one air source heat pump water heater with supplemental electricity</t>
  </si>
  <si>
    <t>Cold climate air source heat pump (mini-split)</t>
  </si>
  <si>
    <t>Cold climate air source heat pump (multi-split)</t>
  </si>
  <si>
    <t>Rooftop heat pump make-up air unit with supplemental electric heating</t>
  </si>
  <si>
    <t>Low ambient rooftop heat pump make-up air unit with electric preheat</t>
  </si>
  <si>
    <t>Central cold climate air source heat pump (multi-split or variable refrigerant flow)</t>
  </si>
  <si>
    <t>Moderate deterioration but with no immediate issues</t>
  </si>
  <si>
    <t>- Input site electrical consumption and demand information.</t>
  </si>
  <si>
    <t>Aggregate data can be requested here.</t>
  </si>
  <si>
    <t>square feet</t>
  </si>
  <si>
    <t>Total Floor Area (square feet):</t>
  </si>
  <si>
    <t>Peak Aggregated Hourly kWh</t>
  </si>
  <si>
    <t>Residential</t>
  </si>
  <si>
    <t>- Peak Aggregated Hourly kWh is the maximum aggregated hourly kWh read for the year</t>
  </si>
  <si>
    <t>- Peak Load (estimated based on Peak Aggregated Hourly kWh)</t>
  </si>
  <si>
    <r>
      <t xml:space="preserve">Auto-populated based on End-use and Energy Measure selection demonstrating whether this is a rebate or custom measure which defines the pathway to rebates. 
The </t>
    </r>
    <r>
      <rPr>
        <b/>
        <sz val="11"/>
        <color theme="1"/>
        <rFont val="Arial"/>
        <family val="2"/>
      </rPr>
      <t xml:space="preserve">Rebate </t>
    </r>
    <r>
      <rPr>
        <sz val="11"/>
        <color theme="1"/>
        <rFont val="Arial"/>
        <family val="2"/>
      </rPr>
      <t>pathway is a streamlined approach suitable for equipment additions or replacements without significant re-design. A MURBRP Rebate Workbook is to be populated with basic information on the existing system and proposed measures, upon which eligible rebate amounts and associated energy impacts are immediately calculated. Custom energy calculations are not required.
The</t>
    </r>
    <r>
      <rPr>
        <b/>
        <sz val="11"/>
        <color theme="1"/>
        <rFont val="Arial"/>
        <family val="2"/>
      </rPr>
      <t xml:space="preserve"> Custom Project </t>
    </r>
    <r>
      <rPr>
        <sz val="11"/>
        <color theme="1"/>
        <rFont val="Arial"/>
        <family val="2"/>
      </rPr>
      <t xml:space="preserve">pathway is reserved for complex measures in which a MURBRP Feasibility Study will need to be completed first to define the project scope, energy impacts and costs. Measures pursued through this pathway will require custom engineering calculations to determine energy impacts. 
</t>
    </r>
  </si>
  <si>
    <t>Feasibility Study + Electrical Load Analysis of Rebate Measure → Rebate Application</t>
  </si>
  <si>
    <t>Feasibility Study + Electrical Load Analysis of Custom Measure → Rebate Application</t>
  </si>
  <si>
    <t>Implement but measure is not part of the MURB Retrofit Program</t>
  </si>
  <si>
    <t>MURBRP Opportunity Assessment Workbook - Version 1.2 -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</si>
</sst>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_(&quot;$&quot;* \(#,##0.00\);_(&quot;$&quot;* &quot;-&quot;??_);_(@_)"/>
    <numFmt numFmtId="43" formatCode="_(* #,##0.00_);_(* \(#,##0.00\);_(* &quot;-&quot;??_);_(@_)"/>
    <numFmt numFmtId="164" formatCode="&quot;$&quot;#,##0.00"/>
    <numFmt numFmtId="165" formatCode="0.0"/>
    <numFmt numFmtId="166" formatCode="_(&quot;$&quot;* #,##0_);_(&quot;$&quot;* \(#,##0\);_(&quot;$&quot;* &quot;-&quot;??_);_(@_)"/>
    <numFmt numFmtId="167" formatCode="_(* #,##0_);_(* \(#,##0\);_(* &quot;-&quot;??_);_(@_)"/>
    <numFmt numFmtId="168" formatCode="0.0%"/>
    <numFmt numFmtId="169" formatCode="_(* #,##0.0000_);_(* \(#,##0.0000\);_(* &quot;-&quot;??_);_(@_)"/>
    <numFmt numFmtId="170" formatCode="_(* #,##0.0_);_(* \(#,##0.0\);_(* &quot;-&quot;??_);_(@_)"/>
    <numFmt numFmtId="171" formatCode="_(* #,##0.0000000000_);_(* \(#,##0.0000000000\);_(* &quot;-&quot;??_);_(@_)"/>
  </numFmts>
  <fonts count="54" x14ac:knownFonts="1">
    <font>
      <sz val="11"/>
      <color theme="1"/>
      <name val="Calibri"/>
      <family val="2"/>
      <scheme val="minor"/>
    </font>
    <font>
      <sz val="11"/>
      <color theme="1"/>
      <name val="Calibri"/>
      <family val="2"/>
      <scheme val="minor"/>
    </font>
    <font>
      <sz val="11"/>
      <color theme="1"/>
      <name val="Arial"/>
      <family val="2"/>
    </font>
    <font>
      <sz val="14"/>
      <color theme="1"/>
      <name val="Arial"/>
      <family val="2"/>
    </font>
    <font>
      <sz val="14"/>
      <name val="Arial"/>
      <family val="2"/>
    </font>
    <font>
      <b/>
      <sz val="14"/>
      <color theme="1"/>
      <name val="Arial"/>
      <family val="2"/>
    </font>
    <font>
      <sz val="10"/>
      <color theme="1"/>
      <name val="Arial"/>
      <family val="2"/>
    </font>
    <font>
      <b/>
      <sz val="13"/>
      <color theme="3"/>
      <name val="Arial"/>
      <family val="2"/>
    </font>
    <font>
      <b/>
      <sz val="15"/>
      <color theme="3"/>
      <name val="Arial"/>
      <family val="2"/>
    </font>
    <font>
      <u/>
      <sz val="10"/>
      <color theme="10"/>
      <name val="Arial"/>
      <family val="2"/>
    </font>
    <font>
      <sz val="9"/>
      <color indexed="81"/>
      <name val="Tahoma"/>
      <family val="2"/>
    </font>
    <font>
      <b/>
      <sz val="26"/>
      <color theme="0"/>
      <name val="Arial"/>
      <family val="2"/>
    </font>
    <font>
      <b/>
      <sz val="11"/>
      <color theme="1"/>
      <name val="Arial"/>
      <family val="2"/>
    </font>
    <font>
      <b/>
      <sz val="12"/>
      <color theme="1"/>
      <name val="Arial"/>
      <family val="2"/>
    </font>
    <font>
      <sz val="11"/>
      <name val="Arial"/>
      <family val="2"/>
    </font>
    <font>
      <b/>
      <sz val="11"/>
      <color theme="0"/>
      <name val="Arial"/>
      <family val="2"/>
    </font>
    <font>
      <sz val="12"/>
      <color theme="1"/>
      <name val="Arial"/>
      <family val="2"/>
    </font>
    <font>
      <b/>
      <u/>
      <sz val="11"/>
      <color theme="1"/>
      <name val="Arial"/>
      <family val="2"/>
    </font>
    <font>
      <b/>
      <sz val="11"/>
      <color rgb="FF000000"/>
      <name val="Calibri"/>
      <family val="2"/>
      <scheme val="minor"/>
    </font>
    <font>
      <b/>
      <u/>
      <sz val="14"/>
      <color rgb="FF000000"/>
      <name val="Arial"/>
      <family val="2"/>
    </font>
    <font>
      <i/>
      <sz val="11"/>
      <color theme="1"/>
      <name val="Calibri"/>
      <family val="2"/>
      <scheme val="minor"/>
    </font>
    <font>
      <b/>
      <sz val="11"/>
      <color theme="0"/>
      <name val="Calibri"/>
      <family val="2"/>
      <scheme val="minor"/>
    </font>
    <font>
      <b/>
      <sz val="11"/>
      <color theme="1"/>
      <name val="Calibri"/>
      <family val="2"/>
      <scheme val="minor"/>
    </font>
    <font>
      <sz val="11"/>
      <color theme="0"/>
      <name val="Arial"/>
      <family val="2"/>
    </font>
    <font>
      <b/>
      <sz val="24"/>
      <color theme="0"/>
      <name val="Arial"/>
      <family val="2"/>
    </font>
    <font>
      <i/>
      <sz val="12"/>
      <color theme="8" tint="-0.249977111117893"/>
      <name val="Arial"/>
      <family val="2"/>
    </font>
    <font>
      <sz val="11"/>
      <color rgb="FFFF0000"/>
      <name val="Arial"/>
      <family val="2"/>
    </font>
    <font>
      <b/>
      <sz val="12"/>
      <color rgb="FFFF0000"/>
      <name val="Arial"/>
      <family val="2"/>
    </font>
    <font>
      <sz val="12"/>
      <color rgb="FFFF0000"/>
      <name val="Arial"/>
      <family val="2"/>
    </font>
    <font>
      <b/>
      <sz val="9"/>
      <color indexed="81"/>
      <name val="Tahoma"/>
      <family val="2"/>
    </font>
    <font>
      <b/>
      <sz val="13"/>
      <color theme="1"/>
      <name val="Arial"/>
      <family val="2"/>
    </font>
    <font>
      <b/>
      <sz val="13"/>
      <color theme="0"/>
      <name val="Arial"/>
      <family val="2"/>
    </font>
    <font>
      <sz val="13"/>
      <color theme="1"/>
      <name val="Arial"/>
      <family val="2"/>
    </font>
    <font>
      <b/>
      <sz val="11"/>
      <name val="Arial"/>
      <family val="2"/>
    </font>
    <font>
      <sz val="11"/>
      <color rgb="FFFF0000"/>
      <name val="Calibri"/>
      <family val="2"/>
      <scheme val="minor"/>
    </font>
    <font>
      <sz val="12"/>
      <name val="Calibri"/>
      <family val="2"/>
    </font>
    <font>
      <sz val="12"/>
      <color theme="1"/>
      <name val="Calibri"/>
      <family val="2"/>
    </font>
    <font>
      <sz val="11"/>
      <name val="Calibri"/>
      <family val="2"/>
      <scheme val="minor"/>
    </font>
    <font>
      <b/>
      <sz val="10"/>
      <color theme="1"/>
      <name val="Arial"/>
      <family val="2"/>
    </font>
    <font>
      <sz val="8"/>
      <color theme="1"/>
      <name val="Arial"/>
      <family val="2"/>
    </font>
    <font>
      <b/>
      <sz val="11"/>
      <color rgb="FFFF0000"/>
      <name val="Arial"/>
      <family val="2"/>
    </font>
    <font>
      <b/>
      <sz val="12"/>
      <name val="Arial"/>
      <family val="2"/>
    </font>
    <font>
      <sz val="12"/>
      <name val="Arial"/>
      <family val="2"/>
    </font>
    <font>
      <b/>
      <sz val="20"/>
      <name val="Arial"/>
      <family val="2"/>
    </font>
    <font>
      <b/>
      <sz val="14"/>
      <color rgb="FF10A3C8"/>
      <name val="Arial"/>
      <family val="2"/>
    </font>
    <font>
      <b/>
      <sz val="26"/>
      <name val="Arial"/>
      <family val="2"/>
    </font>
    <font>
      <b/>
      <sz val="14"/>
      <color theme="0"/>
      <name val="Arial"/>
      <family val="2"/>
    </font>
    <font>
      <b/>
      <sz val="24"/>
      <name val="Arial"/>
      <family val="2"/>
    </font>
    <font>
      <b/>
      <sz val="11"/>
      <color rgb="FF000000"/>
      <name val="Arial"/>
      <family val="2"/>
    </font>
    <font>
      <b/>
      <u/>
      <sz val="11"/>
      <color rgb="FF000000"/>
      <name val="Arial"/>
      <family val="2"/>
    </font>
    <font>
      <sz val="11"/>
      <color theme="1"/>
      <name val="Calibri"/>
      <family val="2"/>
    </font>
    <font>
      <i/>
      <sz val="14"/>
      <name val="Arial"/>
      <family val="2"/>
    </font>
    <font>
      <u/>
      <sz val="11"/>
      <color theme="10"/>
      <name val="Calibri"/>
      <family val="2"/>
      <scheme val="minor"/>
    </font>
    <font>
      <b/>
      <u/>
      <sz val="11"/>
      <color theme="10"/>
      <name val="Arial"/>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FFFF00"/>
        <bgColor indexed="64"/>
      </patternFill>
    </fill>
    <fill>
      <patternFill patternType="solid">
        <fgColor theme="8" tint="-0.249977111117893"/>
        <bgColor theme="1"/>
      </patternFill>
    </fill>
    <fill>
      <patternFill patternType="solid">
        <fgColor theme="3"/>
        <bgColor indexed="64"/>
      </patternFill>
    </fill>
    <fill>
      <patternFill patternType="solid">
        <fgColor rgb="FF92D050"/>
        <bgColor indexed="64"/>
      </patternFill>
    </fill>
    <fill>
      <patternFill patternType="solid">
        <fgColor theme="0" tint="-0.14999847407452621"/>
        <bgColor theme="0" tint="-0.14999847407452621"/>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rgb="FF9ADBE8"/>
        <bgColor indexed="64"/>
      </patternFill>
    </fill>
    <fill>
      <patternFill patternType="solid">
        <fgColor rgb="FF10A3C8"/>
        <bgColor indexed="64"/>
      </patternFill>
    </fill>
    <fill>
      <patternFill patternType="solid">
        <fgColor theme="6" tint="0.7999816888943144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theme="8" tint="-0.249977111117893"/>
      </left>
      <right/>
      <top style="medium">
        <color theme="8" tint="-0.249977111117893"/>
      </top>
      <bottom style="medium">
        <color theme="8" tint="-0.249977111117893"/>
      </bottom>
      <diagonal/>
    </border>
    <border>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style="thin">
        <color theme="8" tint="-0.249977111117893"/>
      </left>
      <right/>
      <top style="thin">
        <color theme="8" tint="-0.249977111117893"/>
      </top>
      <bottom/>
      <diagonal/>
    </border>
    <border>
      <left/>
      <right/>
      <top style="thin">
        <color theme="8" tint="-0.249977111117893"/>
      </top>
      <bottom/>
      <diagonal/>
    </border>
    <border>
      <left/>
      <right style="thin">
        <color theme="8" tint="-0.249977111117893"/>
      </right>
      <top style="thin">
        <color theme="8" tint="-0.249977111117893"/>
      </top>
      <bottom/>
      <diagonal/>
    </border>
    <border>
      <left style="thin">
        <color theme="8" tint="-0.249977111117893"/>
      </left>
      <right/>
      <top/>
      <bottom/>
      <diagonal/>
    </border>
    <border>
      <left/>
      <right style="thin">
        <color theme="8" tint="-0.249977111117893"/>
      </right>
      <top/>
      <bottom/>
      <diagonal/>
    </border>
    <border>
      <left style="thin">
        <color theme="8" tint="-0.249977111117893"/>
      </left>
      <right/>
      <top style="thin">
        <color theme="8" tint="-0.249977111117893"/>
      </top>
      <bottom style="thin">
        <color theme="8" tint="-0.249977111117893"/>
      </bottom>
      <diagonal/>
    </border>
    <border>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indexed="64"/>
      </left>
      <right style="thin">
        <color indexed="64"/>
      </right>
      <top/>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top/>
      <bottom style="thin">
        <color theme="8" tint="-0.24994659260841701"/>
      </bottom>
      <diagonal/>
    </border>
    <border>
      <left/>
      <right style="thin">
        <color theme="8" tint="-0.24994659260841701"/>
      </right>
      <top/>
      <bottom style="thin">
        <color theme="8" tint="-0.24994659260841701"/>
      </bottom>
      <diagonal/>
    </border>
    <border>
      <left style="thin">
        <color theme="1"/>
      </left>
      <right style="thin">
        <color indexed="64"/>
      </right>
      <top style="thin">
        <color indexed="64"/>
      </top>
      <bottom style="thin">
        <color indexed="64"/>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999999"/>
      </left>
      <right/>
      <top/>
      <bottom/>
      <diagonal/>
    </border>
    <border>
      <left style="thin">
        <color theme="8" tint="-0.249977111117893"/>
      </left>
      <right/>
      <top/>
      <bottom style="thin">
        <color indexed="64"/>
      </bottom>
      <diagonal/>
    </border>
    <border>
      <left/>
      <right style="thin">
        <color theme="8" tint="-0.249977111117893"/>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theme="4" tint="0.39997558519241921"/>
      </left>
      <right/>
      <top/>
      <bottom/>
      <diagonal/>
    </border>
    <border>
      <left style="thin">
        <color rgb="FFCBC4BC"/>
      </left>
      <right style="thin">
        <color rgb="FFCBC4BC"/>
      </right>
      <top style="thin">
        <color rgb="FFCBC4BC"/>
      </top>
      <bottom style="thin">
        <color rgb="FFCBC4BC"/>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10A3C8"/>
      </left>
      <right style="thin">
        <color rgb="FF10A3C8"/>
      </right>
      <top style="thin">
        <color rgb="FF10A3C8"/>
      </top>
      <bottom style="thin">
        <color rgb="FF10A3C8"/>
      </bottom>
      <diagonal/>
    </border>
    <border>
      <left/>
      <right/>
      <top style="medium">
        <color indexed="64"/>
      </top>
      <bottom/>
      <diagonal/>
    </border>
    <border>
      <left style="thin">
        <color rgb="FF10A3C8"/>
      </left>
      <right style="thin">
        <color rgb="FF10A3C8"/>
      </right>
      <top/>
      <bottom style="thin">
        <color rgb="FF10A3C8"/>
      </bottom>
      <diagonal/>
    </border>
    <border>
      <left/>
      <right/>
      <top/>
      <bottom style="medium">
        <color indexed="64"/>
      </bottom>
      <diagonal/>
    </border>
    <border>
      <left style="thin">
        <color rgb="FF10A3C8"/>
      </left>
      <right/>
      <top style="thin">
        <color rgb="FF10A3C8"/>
      </top>
      <bottom style="thin">
        <color rgb="FF10A3C8"/>
      </bottom>
      <diagonal/>
    </border>
    <border>
      <left/>
      <right style="thin">
        <color rgb="FF10A3C8"/>
      </right>
      <top style="thin">
        <color rgb="FF10A3C8"/>
      </top>
      <bottom style="thin">
        <color rgb="FF10A3C8"/>
      </bottom>
      <diagonal/>
    </border>
    <border>
      <left/>
      <right style="thin">
        <color rgb="FF10A3C8"/>
      </right>
      <top/>
      <bottom style="thin">
        <color rgb="FF10A3C8"/>
      </bottom>
      <diagonal/>
    </border>
    <border>
      <left style="thin">
        <color rgb="FF10A3C8"/>
      </left>
      <right/>
      <top/>
      <bottom style="thin">
        <color rgb="FF10A3C8"/>
      </bottom>
      <diagonal/>
    </border>
    <border>
      <left/>
      <right style="thin">
        <color rgb="FF10A3C8"/>
      </right>
      <top style="thin">
        <color rgb="FF10A3C8"/>
      </top>
      <bottom/>
      <diagonal/>
    </border>
    <border>
      <left style="thin">
        <color rgb="FF10A3C8"/>
      </left>
      <right style="thin">
        <color rgb="FF10A3C8"/>
      </right>
      <top style="thin">
        <color rgb="FF10A3C8"/>
      </top>
      <bottom/>
      <diagonal/>
    </border>
    <border>
      <left style="thin">
        <color rgb="FF10A3C8"/>
      </left>
      <right/>
      <top style="thin">
        <color rgb="FF10A3C8"/>
      </top>
      <bottom/>
      <diagonal/>
    </border>
    <border>
      <left style="thin">
        <color theme="0"/>
      </left>
      <right style="thin">
        <color theme="0"/>
      </right>
      <top style="thin">
        <color theme="0"/>
      </top>
      <bottom style="thin">
        <color theme="0"/>
      </bottom>
      <diagonal/>
    </border>
    <border>
      <left/>
      <right/>
      <top style="thin">
        <color rgb="FF10A3C8"/>
      </top>
      <bottom/>
      <diagonal/>
    </border>
    <border>
      <left/>
      <right style="thin">
        <color rgb="FF10A3C8"/>
      </right>
      <top/>
      <bottom/>
      <diagonal/>
    </border>
    <border>
      <left/>
      <right/>
      <top/>
      <bottom style="thin">
        <color rgb="FF10A3C8"/>
      </bottom>
      <diagonal/>
    </border>
    <border>
      <left style="thin">
        <color theme="1"/>
      </left>
      <right/>
      <top/>
      <bottom/>
      <diagonal/>
    </border>
    <border>
      <left style="thin">
        <color theme="0"/>
      </left>
      <right style="thin">
        <color theme="0"/>
      </right>
      <top/>
      <bottom style="thin">
        <color theme="0"/>
      </bottom>
      <diagonal/>
    </border>
    <border>
      <left style="thin">
        <color rgb="FF10A3C8"/>
      </left>
      <right/>
      <top/>
      <bottom/>
      <diagonal/>
    </border>
    <border>
      <left/>
      <right/>
      <top style="thin">
        <color rgb="FF10A3C8"/>
      </top>
      <bottom style="thin">
        <color rgb="FF10A3C8"/>
      </bottom>
      <diagonal/>
    </border>
  </borders>
  <cellStyleXfs count="12">
    <xf numFmtId="0" fontId="0" fillId="0" borderId="0"/>
    <xf numFmtId="44" fontId="1" fillId="0" borderId="0" applyFont="0" applyFill="0" applyBorder="0" applyAlignment="0" applyProtection="0"/>
    <xf numFmtId="0" fontId="6" fillId="0" borderId="0"/>
    <xf numFmtId="0" fontId="7" fillId="0" borderId="11" applyNumberFormat="0" applyFill="0" applyAlignment="0" applyProtection="0"/>
    <xf numFmtId="0" fontId="8" fillId="0" borderId="10" applyNumberFormat="0" applyFill="0" applyAlignment="0" applyProtection="0"/>
    <xf numFmtId="0" fontId="9"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39" fillId="16" borderId="57" applyNumberFormat="0" applyAlignment="0">
      <alignment horizontal="left" vertical="center" wrapText="1"/>
      <protection locked="0"/>
    </xf>
    <xf numFmtId="0" fontId="52" fillId="0" borderId="0" applyNumberFormat="0" applyFill="0" applyBorder="0" applyAlignment="0" applyProtection="0"/>
  </cellStyleXfs>
  <cellXfs count="383">
    <xf numFmtId="0" fontId="0" fillId="0" borderId="0" xfId="0"/>
    <xf numFmtId="0" fontId="2" fillId="0" borderId="0" xfId="0" applyFont="1"/>
    <xf numFmtId="0" fontId="2" fillId="0" borderId="0" xfId="0" applyFont="1" applyAlignment="1">
      <alignment horizontal="center"/>
    </xf>
    <xf numFmtId="0" fontId="3" fillId="6" borderId="1" xfId="0" applyFont="1" applyFill="1" applyBorder="1" applyAlignment="1">
      <alignment horizontal="center" vertical="center"/>
    </xf>
    <xf numFmtId="0" fontId="2" fillId="0" borderId="0" xfId="0" applyFont="1" applyProtection="1">
      <protection hidden="1"/>
    </xf>
    <xf numFmtId="0" fontId="11" fillId="2" borderId="22" xfId="0" applyFont="1" applyFill="1" applyBorder="1" applyAlignment="1" applyProtection="1">
      <alignment vertical="center"/>
      <protection hidden="1"/>
    </xf>
    <xf numFmtId="0" fontId="11" fillId="2" borderId="23" xfId="0" applyFont="1" applyFill="1" applyBorder="1" applyAlignment="1" applyProtection="1">
      <alignment horizontal="center"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2" fillId="0" borderId="0" xfId="0" applyFont="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167" fontId="2" fillId="3" borderId="1" xfId="7" applyNumberFormat="1" applyFont="1" applyFill="1" applyBorder="1" applyProtection="1">
      <protection hidden="1"/>
    </xf>
    <xf numFmtId="9" fontId="2" fillId="3" borderId="1" xfId="6" applyFont="1" applyFill="1" applyBorder="1" applyProtection="1">
      <protection hidden="1"/>
    </xf>
    <xf numFmtId="166" fontId="2" fillId="3" borderId="1" xfId="1" applyNumberFormat="1" applyFont="1" applyFill="1" applyBorder="1" applyProtection="1">
      <protection hidden="1"/>
    </xf>
    <xf numFmtId="0" fontId="12" fillId="0" borderId="0" xfId="0" applyFont="1" applyAlignment="1" applyProtection="1">
      <alignment horizontal="left"/>
      <protection hidden="1"/>
    </xf>
    <xf numFmtId="166" fontId="2" fillId="0" borderId="0" xfId="1" applyNumberFormat="1" applyFont="1" applyProtection="1">
      <protection hidden="1"/>
    </xf>
    <xf numFmtId="9" fontId="2" fillId="0" borderId="0" xfId="6" applyFont="1" applyProtection="1">
      <protection hidden="1"/>
    </xf>
    <xf numFmtId="0" fontId="0" fillId="0" borderId="0" xfId="0" applyProtection="1">
      <protection hidden="1"/>
    </xf>
    <xf numFmtId="0" fontId="0" fillId="0" borderId="0" xfId="0" applyAlignment="1" applyProtection="1">
      <alignment horizontal="center"/>
      <protection hidden="1"/>
    </xf>
    <xf numFmtId="0" fontId="11" fillId="0" borderId="29" xfId="0" applyFont="1" applyBorder="1" applyAlignment="1" applyProtection="1">
      <alignment vertical="center" wrapText="1"/>
      <protection hidden="1"/>
    </xf>
    <xf numFmtId="0" fontId="11" fillId="0" borderId="31" xfId="0" applyFont="1" applyBorder="1" applyAlignment="1" applyProtection="1">
      <alignment vertical="center" wrapText="1"/>
      <protection hidden="1"/>
    </xf>
    <xf numFmtId="0" fontId="11" fillId="2" borderId="0" xfId="0" applyFont="1" applyFill="1" applyAlignment="1" applyProtection="1">
      <alignment vertical="center"/>
      <protection hidden="1"/>
    </xf>
    <xf numFmtId="0" fontId="20" fillId="0" borderId="0" xfId="0" applyFont="1" applyProtection="1">
      <protection hidden="1"/>
    </xf>
    <xf numFmtId="0" fontId="0" fillId="0" borderId="0" xfId="0" applyAlignment="1" applyProtection="1">
      <alignment horizontal="center" vertical="center"/>
      <protection hidden="1"/>
    </xf>
    <xf numFmtId="0" fontId="2" fillId="0" borderId="24" xfId="0" applyFont="1" applyBorder="1" applyProtection="1">
      <protection hidden="1"/>
    </xf>
    <xf numFmtId="0" fontId="2" fillId="0" borderId="25" xfId="0" applyFont="1" applyBorder="1" applyProtection="1">
      <protection hidden="1"/>
    </xf>
    <xf numFmtId="0" fontId="2" fillId="0" borderId="26" xfId="0" applyFont="1" applyBorder="1" applyProtection="1">
      <protection hidden="1"/>
    </xf>
    <xf numFmtId="0" fontId="2" fillId="0" borderId="27" xfId="0" applyFont="1" applyBorder="1" applyProtection="1">
      <protection hidden="1"/>
    </xf>
    <xf numFmtId="0" fontId="2" fillId="0" borderId="28" xfId="0" applyFont="1" applyBorder="1" applyProtection="1">
      <protection hidden="1"/>
    </xf>
    <xf numFmtId="0" fontId="2" fillId="0" borderId="0" xfId="0" applyFont="1" applyAlignment="1" applyProtection="1">
      <alignment horizontal="center" wrapText="1"/>
      <protection hidden="1"/>
    </xf>
    <xf numFmtId="0" fontId="17" fillId="0" borderId="0" xfId="0" applyFont="1" applyProtection="1">
      <protection hidden="1"/>
    </xf>
    <xf numFmtId="0" fontId="2" fillId="0" borderId="0" xfId="0" applyFont="1" applyAlignment="1" applyProtection="1">
      <alignment horizontal="left" vertical="center"/>
      <protection hidden="1"/>
    </xf>
    <xf numFmtId="0" fontId="19" fillId="0" borderId="0" xfId="0" applyFont="1" applyProtection="1">
      <protection hidden="1"/>
    </xf>
    <xf numFmtId="0" fontId="2" fillId="2" borderId="0" xfId="0" applyFont="1" applyFill="1" applyProtection="1">
      <protection hidden="1"/>
    </xf>
    <xf numFmtId="0" fontId="5" fillId="2" borderId="0" xfId="0" applyFont="1" applyFill="1" applyProtection="1">
      <protection hidden="1"/>
    </xf>
    <xf numFmtId="0" fontId="5" fillId="2" borderId="0" xfId="0" applyFont="1" applyFill="1" applyAlignment="1" applyProtection="1">
      <alignment horizontal="right" indent="2"/>
      <protection hidden="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horizontal="right" vertical="center" indent="2"/>
      <protection hidden="1"/>
    </xf>
    <xf numFmtId="0" fontId="15" fillId="2" borderId="0" xfId="0" applyFont="1" applyFill="1" applyAlignment="1" applyProtection="1">
      <alignment horizontal="center" vertical="center"/>
      <protection hidden="1"/>
    </xf>
    <xf numFmtId="0" fontId="15" fillId="2" borderId="0" xfId="0" applyFont="1" applyFill="1" applyAlignment="1" applyProtection="1">
      <alignment horizontal="center"/>
      <protection hidden="1"/>
    </xf>
    <xf numFmtId="0" fontId="21" fillId="10" borderId="4" xfId="0" applyFont="1" applyFill="1" applyBorder="1" applyAlignment="1">
      <alignment horizontal="center" wrapText="1"/>
    </xf>
    <xf numFmtId="0" fontId="21" fillId="10" borderId="32" xfId="0" applyFont="1" applyFill="1" applyBorder="1" applyAlignment="1">
      <alignment horizontal="center" wrapText="1"/>
    </xf>
    <xf numFmtId="0" fontId="21" fillId="11" borderId="4" xfId="0" applyFont="1" applyFill="1" applyBorder="1" applyAlignment="1">
      <alignment horizontal="center" wrapText="1"/>
    </xf>
    <xf numFmtId="49" fontId="0" fillId="0" borderId="4" xfId="0" applyNumberFormat="1" applyBorder="1" applyAlignment="1">
      <alignment horizontal="center"/>
    </xf>
    <xf numFmtId="0" fontId="0" fillId="0" borderId="4" xfId="0" applyBorder="1"/>
    <xf numFmtId="168" fontId="0" fillId="0" borderId="4" xfId="6" applyNumberFormat="1" applyFont="1" applyBorder="1"/>
    <xf numFmtId="169" fontId="0" fillId="0" borderId="4" xfId="7" applyNumberFormat="1" applyFont="1" applyBorder="1"/>
    <xf numFmtId="49" fontId="0" fillId="0" borderId="32" xfId="0" applyNumberFormat="1" applyBorder="1" applyAlignment="1">
      <alignment horizontal="center"/>
    </xf>
    <xf numFmtId="0" fontId="0" fillId="0" borderId="32" xfId="0" applyBorder="1"/>
    <xf numFmtId="168" fontId="0" fillId="0" borderId="32" xfId="6" applyNumberFormat="1" applyFont="1" applyBorder="1"/>
    <xf numFmtId="169" fontId="0" fillId="0" borderId="32" xfId="7" applyNumberFormat="1" applyFont="1" applyBorder="1"/>
    <xf numFmtId="49" fontId="0" fillId="0" borderId="20" xfId="0" applyNumberFormat="1" applyBorder="1" applyAlignment="1">
      <alignment horizontal="center"/>
    </xf>
    <xf numFmtId="0" fontId="0" fillId="0" borderId="20" xfId="0" applyBorder="1"/>
    <xf numFmtId="168" fontId="0" fillId="0" borderId="20" xfId="6" applyNumberFormat="1" applyFont="1" applyBorder="1"/>
    <xf numFmtId="169" fontId="0" fillId="0" borderId="20" xfId="7" applyNumberFormat="1" applyFont="1" applyBorder="1"/>
    <xf numFmtId="43" fontId="0" fillId="0" borderId="32" xfId="7" applyFont="1" applyBorder="1"/>
    <xf numFmtId="43" fontId="0" fillId="0" borderId="20" xfId="7" applyFont="1" applyBorder="1"/>
    <xf numFmtId="1" fontId="0" fillId="0" borderId="0" xfId="0" applyNumberFormat="1" applyAlignment="1">
      <alignment horizontal="center"/>
    </xf>
    <xf numFmtId="1" fontId="0" fillId="0" borderId="0" xfId="0" applyNumberFormat="1" applyAlignment="1">
      <alignment horizontal="left"/>
    </xf>
    <xf numFmtId="43" fontId="0" fillId="0" borderId="4" xfId="7" applyFont="1" applyBorder="1"/>
    <xf numFmtId="43" fontId="0" fillId="0" borderId="4" xfId="7" applyFont="1" applyBorder="1" applyAlignment="1">
      <alignment horizontal="right"/>
    </xf>
    <xf numFmtId="43" fontId="0" fillId="0" borderId="32" xfId="7" applyFont="1" applyBorder="1" applyAlignment="1">
      <alignment horizontal="right"/>
    </xf>
    <xf numFmtId="43" fontId="0" fillId="0" borderId="20" xfId="7" applyFont="1" applyBorder="1" applyAlignment="1">
      <alignment horizontal="right"/>
    </xf>
    <xf numFmtId="0" fontId="4" fillId="0" borderId="1" xfId="0" applyFont="1" applyBorder="1" applyAlignment="1">
      <alignment horizontal="left" vertical="center"/>
    </xf>
    <xf numFmtId="0" fontId="3" fillId="0" borderId="1" xfId="0" applyFont="1" applyBorder="1" applyAlignment="1">
      <alignment horizontal="left" vertical="center"/>
    </xf>
    <xf numFmtId="0" fontId="5" fillId="9" borderId="32" xfId="0" applyFont="1" applyFill="1" applyBorder="1" applyAlignment="1">
      <alignment horizontal="center" vertical="center"/>
    </xf>
    <xf numFmtId="0" fontId="3" fillId="0" borderId="1" xfId="0" applyFont="1" applyBorder="1" applyAlignment="1">
      <alignment horizontal="center" vertical="center"/>
    </xf>
    <xf numFmtId="169" fontId="3" fillId="0" borderId="1" xfId="7" applyNumberFormat="1" applyFont="1" applyBorder="1" applyAlignment="1">
      <alignment horizontal="center" vertical="center"/>
    </xf>
    <xf numFmtId="43" fontId="3" fillId="0" borderId="1" xfId="7" applyFont="1" applyBorder="1" applyAlignment="1">
      <alignment horizontal="center" vertical="center"/>
    </xf>
    <xf numFmtId="0" fontId="0" fillId="0" borderId="0" xfId="0" pivotButton="1"/>
    <xf numFmtId="0" fontId="0" fillId="0" borderId="0" xfId="0" applyAlignment="1">
      <alignment horizontal="left"/>
    </xf>
    <xf numFmtId="0" fontId="14" fillId="2" borderId="2" xfId="0" applyFont="1" applyFill="1" applyBorder="1" applyAlignment="1" applyProtection="1">
      <alignment horizontal="left" vertical="center"/>
      <protection hidden="1"/>
    </xf>
    <xf numFmtId="0" fontId="15" fillId="0" borderId="0" xfId="0" applyFont="1" applyAlignment="1" applyProtection="1">
      <alignment vertical="center"/>
      <protection hidden="1"/>
    </xf>
    <xf numFmtId="9" fontId="23" fillId="0" borderId="0" xfId="0" applyNumberFormat="1" applyFont="1" applyAlignment="1" applyProtection="1">
      <alignment horizontal="center"/>
      <protection hidden="1"/>
    </xf>
    <xf numFmtId="0" fontId="3" fillId="0" borderId="0" xfId="0" applyFont="1" applyAlignment="1">
      <alignment horizontal="center" vertical="center"/>
    </xf>
    <xf numFmtId="0" fontId="3" fillId="6" borderId="32" xfId="0" applyFont="1" applyFill="1" applyBorder="1" applyAlignment="1">
      <alignment horizontal="center" vertical="center"/>
    </xf>
    <xf numFmtId="0" fontId="3" fillId="0" borderId="0" xfId="0" applyFont="1" applyAlignment="1">
      <alignment horizontal="left" vertical="center"/>
    </xf>
    <xf numFmtId="0" fontId="2" fillId="0" borderId="0" xfId="0" applyFont="1" applyAlignment="1" applyProtection="1">
      <alignment wrapText="1"/>
      <protection hidden="1"/>
    </xf>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44" fontId="0" fillId="0" borderId="0" xfId="0" applyNumberFormat="1"/>
    <xf numFmtId="0" fontId="0" fillId="0" borderId="0" xfId="0" applyAlignment="1">
      <alignment wrapText="1"/>
    </xf>
    <xf numFmtId="167" fontId="0" fillId="0" borderId="0" xfId="0" applyNumberFormat="1"/>
    <xf numFmtId="166" fontId="0" fillId="0" borderId="0" xfId="0" applyNumberFormat="1"/>
    <xf numFmtId="0" fontId="0" fillId="0" borderId="0" xfId="0" pivotButton="1" applyAlignment="1">
      <alignment wrapText="1"/>
    </xf>
    <xf numFmtId="0" fontId="3" fillId="0" borderId="4" xfId="0" applyFont="1" applyBorder="1" applyAlignment="1">
      <alignment horizontal="left" vertical="center"/>
    </xf>
    <xf numFmtId="0" fontId="22" fillId="0" borderId="0" xfId="0" applyFont="1"/>
    <xf numFmtId="0" fontId="16" fillId="3" borderId="41" xfId="0" applyFont="1" applyFill="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49" fontId="0" fillId="0" borderId="0" xfId="0" applyNumberFormat="1" applyAlignment="1">
      <alignment vertical="center"/>
    </xf>
    <xf numFmtId="22" fontId="0" fillId="0" borderId="0" xfId="0" applyNumberFormat="1" applyAlignment="1">
      <alignment vertical="center"/>
    </xf>
    <xf numFmtId="49" fontId="0" fillId="0" borderId="0" xfId="0" applyNumberFormat="1" applyAlignment="1">
      <alignment vertical="center" wrapText="1"/>
    </xf>
    <xf numFmtId="165" fontId="0" fillId="0" borderId="0" xfId="0" applyNumberFormat="1" applyAlignment="1">
      <alignment vertical="center"/>
    </xf>
    <xf numFmtId="0" fontId="2" fillId="0" borderId="52" xfId="0" applyFont="1" applyBorder="1" applyProtection="1">
      <protection hidden="1"/>
    </xf>
    <xf numFmtId="0" fontId="2" fillId="0" borderId="8" xfId="0" applyFont="1" applyBorder="1" applyProtection="1">
      <protection hidden="1"/>
    </xf>
    <xf numFmtId="0" fontId="18" fillId="0" borderId="8" xfId="0" applyFont="1" applyBorder="1" applyAlignment="1" applyProtection="1">
      <alignment vertical="center"/>
      <protection hidden="1"/>
    </xf>
    <xf numFmtId="0" fontId="2" fillId="0" borderId="53" xfId="0" applyFont="1" applyBorder="1" applyProtection="1">
      <protection hidden="1"/>
    </xf>
    <xf numFmtId="0" fontId="16" fillId="0" borderId="0" xfId="0" applyFont="1" applyProtection="1">
      <protection hidden="1"/>
    </xf>
    <xf numFmtId="0" fontId="2" fillId="0" borderId="2" xfId="0" applyFont="1" applyBorder="1" applyAlignment="1" applyProtection="1">
      <alignment vertical="center"/>
      <protection locked="0"/>
    </xf>
    <xf numFmtId="0" fontId="2" fillId="0" borderId="1" xfId="0" applyFont="1" applyBorder="1"/>
    <xf numFmtId="0" fontId="3" fillId="12" borderId="1" xfId="0" applyFont="1" applyFill="1" applyBorder="1" applyAlignment="1">
      <alignment horizontal="center" vertical="center"/>
    </xf>
    <xf numFmtId="171" fontId="2" fillId="0" borderId="1" xfId="7" applyNumberFormat="1" applyFont="1" applyBorder="1"/>
    <xf numFmtId="3" fontId="30" fillId="2" borderId="0" xfId="0" applyNumberFormat="1" applyFont="1" applyFill="1" applyAlignment="1" applyProtection="1">
      <alignment horizontal="center" vertical="center" wrapText="1"/>
      <protection hidden="1"/>
    </xf>
    <xf numFmtId="0" fontId="30" fillId="2" borderId="0" xfId="0" applyFont="1" applyFill="1" applyAlignment="1" applyProtection="1">
      <alignment horizontal="center" vertical="center"/>
      <protection hidden="1"/>
    </xf>
    <xf numFmtId="0" fontId="31" fillId="2" borderId="0" xfId="0" applyFont="1" applyFill="1" applyAlignment="1" applyProtection="1">
      <alignment horizontal="center" vertical="center"/>
      <protection hidden="1"/>
    </xf>
    <xf numFmtId="0" fontId="31" fillId="0" borderId="0" xfId="0" applyFont="1" applyAlignment="1" applyProtection="1">
      <alignment vertical="center"/>
      <protection hidden="1"/>
    </xf>
    <xf numFmtId="0" fontId="31" fillId="2" borderId="0" xfId="0" applyFont="1" applyFill="1" applyAlignment="1" applyProtection="1">
      <alignment horizontal="center"/>
      <protection hidden="1"/>
    </xf>
    <xf numFmtId="0" fontId="32" fillId="2" borderId="0" xfId="0" applyFont="1" applyFill="1" applyProtection="1">
      <protection hidden="1"/>
    </xf>
    <xf numFmtId="0" fontId="2" fillId="2" borderId="14" xfId="0" applyFont="1" applyFill="1" applyBorder="1" applyProtection="1">
      <protection hidden="1"/>
    </xf>
    <xf numFmtId="0" fontId="2" fillId="0" borderId="0" xfId="0" applyFont="1" applyAlignment="1" applyProtection="1">
      <alignment horizontal="center" vertical="center"/>
      <protection hidden="1"/>
    </xf>
    <xf numFmtId="0" fontId="33" fillId="13" borderId="56" xfId="8" applyNumberFormat="1" applyFont="1" applyFill="1" applyBorder="1" applyAlignment="1"/>
    <xf numFmtId="0" fontId="33" fillId="13" borderId="0" xfId="8" applyNumberFormat="1" applyFont="1" applyFill="1" applyBorder="1" applyAlignment="1"/>
    <xf numFmtId="0" fontId="33" fillId="14" borderId="56" xfId="8" applyNumberFormat="1" applyFont="1" applyFill="1" applyBorder="1" applyAlignment="1"/>
    <xf numFmtId="0" fontId="33" fillId="14" borderId="0" xfId="8" applyNumberFormat="1" applyFont="1" applyFill="1" applyBorder="1" applyAlignment="1"/>
    <xf numFmtId="0" fontId="3" fillId="0" borderId="1" xfId="0" applyNumberFormat="1" applyFont="1" applyBorder="1" applyAlignment="1">
      <alignment horizontal="center" vertical="center"/>
    </xf>
    <xf numFmtId="0" fontId="3" fillId="0" borderId="1" xfId="7" applyNumberFormat="1" applyFont="1" applyBorder="1" applyAlignment="1">
      <alignment horizontal="center" vertical="center"/>
    </xf>
    <xf numFmtId="0" fontId="3" fillId="0" borderId="1" xfId="0" applyNumberFormat="1" applyFont="1" applyBorder="1" applyAlignment="1">
      <alignment horizontal="center"/>
    </xf>
    <xf numFmtId="0" fontId="3" fillId="0" borderId="1" xfId="7" applyNumberFormat="1" applyFont="1" applyBorder="1" applyAlignment="1">
      <alignment horizontal="center"/>
    </xf>
    <xf numFmtId="0" fontId="6" fillId="0" borderId="1" xfId="2" applyBorder="1" applyAlignment="1">
      <alignment vertical="center" wrapText="1"/>
    </xf>
    <xf numFmtId="0" fontId="35" fillId="0" borderId="1" xfId="2" applyFont="1" applyBorder="1" applyAlignment="1">
      <alignment vertical="center" wrapText="1"/>
    </xf>
    <xf numFmtId="49" fontId="6" fillId="0" borderId="1" xfId="2" applyNumberFormat="1" applyBorder="1" applyAlignment="1">
      <alignment vertical="center" wrapText="1"/>
    </xf>
    <xf numFmtId="49" fontId="35" fillId="0" borderId="1" xfId="2" applyNumberFormat="1" applyFont="1" applyBorder="1" applyAlignment="1">
      <alignment vertical="center" wrapText="1"/>
    </xf>
    <xf numFmtId="49" fontId="6" fillId="8" borderId="1" xfId="2" applyNumberFormat="1" applyFill="1" applyBorder="1" applyAlignment="1">
      <alignment vertical="center" wrapText="1"/>
    </xf>
    <xf numFmtId="49" fontId="6" fillId="15" borderId="1" xfId="2" applyNumberFormat="1" applyFill="1" applyBorder="1" applyAlignment="1">
      <alignment vertical="center" wrapText="1"/>
    </xf>
    <xf numFmtId="49" fontId="6" fillId="0" borderId="1" xfId="2" applyNumberFormat="1" applyBorder="1" applyAlignment="1">
      <alignment horizontal="center" vertical="center" wrapText="1"/>
    </xf>
    <xf numFmtId="165" fontId="6" fillId="0" borderId="1" xfId="2" applyNumberFormat="1" applyBorder="1" applyAlignment="1">
      <alignment horizontal="center" vertical="center" wrapText="1"/>
    </xf>
    <xf numFmtId="165" fontId="35" fillId="0" borderId="1" xfId="2" applyNumberFormat="1" applyFont="1" applyBorder="1" applyAlignment="1">
      <alignment horizontal="center" vertical="center" wrapText="1"/>
    </xf>
    <xf numFmtId="165" fontId="6" fillId="8" borderId="1" xfId="2" applyNumberFormat="1" applyFill="1" applyBorder="1" applyAlignment="1">
      <alignment horizontal="center" vertical="center" wrapText="1"/>
    </xf>
    <xf numFmtId="165" fontId="6" fillId="15" borderId="1" xfId="2" applyNumberFormat="1" applyFill="1" applyBorder="1" applyAlignment="1">
      <alignment horizontal="center" vertical="center" wrapText="1"/>
    </xf>
    <xf numFmtId="165" fontId="34" fillId="15" borderId="1" xfId="2" applyNumberFormat="1" applyFont="1" applyFill="1" applyBorder="1" applyAlignment="1">
      <alignment horizontal="center" vertical="center" wrapText="1"/>
    </xf>
    <xf numFmtId="165" fontId="6" fillId="0" borderId="1" xfId="2" applyNumberFormat="1" applyBorder="1" applyAlignment="1">
      <alignment horizontal="center" wrapText="1"/>
    </xf>
    <xf numFmtId="49" fontId="6" fillId="0" borderId="1" xfId="2" applyNumberFormat="1" applyBorder="1" applyAlignment="1">
      <alignment vertical="top" wrapText="1"/>
    </xf>
    <xf numFmtId="49" fontId="6" fillId="0" borderId="1" xfId="2" applyNumberFormat="1" applyBorder="1" applyAlignment="1">
      <alignment horizontal="left" vertical="center" wrapText="1"/>
    </xf>
    <xf numFmtId="49" fontId="37" fillId="0" borderId="1" xfId="2" applyNumberFormat="1" applyFont="1" applyBorder="1" applyAlignment="1">
      <alignment vertical="center" wrapText="1"/>
    </xf>
    <xf numFmtId="165" fontId="38" fillId="0" borderId="1" xfId="2" applyNumberFormat="1" applyFont="1" applyBorder="1" applyAlignment="1">
      <alignment horizontal="center" vertical="center" wrapText="1"/>
    </xf>
    <xf numFmtId="0" fontId="2" fillId="3" borderId="20" xfId="0" applyFont="1" applyFill="1" applyBorder="1" applyAlignment="1" applyProtection="1">
      <alignment vertical="center"/>
      <protection hidden="1"/>
    </xf>
    <xf numFmtId="0" fontId="23" fillId="0" borderId="0" xfId="0" applyFont="1" applyProtection="1">
      <protection hidden="1"/>
    </xf>
    <xf numFmtId="0" fontId="2" fillId="2" borderId="59" xfId="0" applyFont="1" applyFill="1" applyBorder="1" applyProtection="1">
      <protection hidden="1"/>
    </xf>
    <xf numFmtId="0" fontId="2" fillId="0" borderId="0" xfId="0" applyFont="1" applyAlignment="1">
      <alignment wrapText="1"/>
    </xf>
    <xf numFmtId="0" fontId="23" fillId="0" borderId="0" xfId="0" applyFont="1" applyAlignment="1">
      <alignment wrapText="1"/>
    </xf>
    <xf numFmtId="0" fontId="2" fillId="13" borderId="1" xfId="8" applyNumberFormat="1" applyFont="1" applyFill="1" applyBorder="1" applyAlignment="1"/>
    <xf numFmtId="0" fontId="2" fillId="14" borderId="1" xfId="8" applyNumberFormat="1" applyFont="1" applyFill="1" applyBorder="1" applyAlignment="1"/>
    <xf numFmtId="0" fontId="2" fillId="8" borderId="1" xfId="8" applyNumberFormat="1" applyFont="1" applyFill="1" applyBorder="1" applyAlignment="1"/>
    <xf numFmtId="0" fontId="0" fillId="0" borderId="1" xfId="0" applyBorder="1"/>
    <xf numFmtId="0" fontId="2" fillId="2" borderId="0" xfId="0" applyFont="1" applyFill="1" applyBorder="1" applyAlignment="1" applyProtection="1">
      <alignment horizontal="center" vertical="center"/>
      <protection hidden="1"/>
    </xf>
    <xf numFmtId="0" fontId="3" fillId="0" borderId="1" xfId="0" applyFont="1" applyFill="1" applyBorder="1" applyAlignment="1">
      <alignment horizontal="center" vertical="center"/>
    </xf>
    <xf numFmtId="0" fontId="3" fillId="8" borderId="3" xfId="0" applyFont="1" applyFill="1" applyBorder="1" applyAlignment="1" applyProtection="1">
      <alignment vertical="center"/>
    </xf>
    <xf numFmtId="0" fontId="3" fillId="8" borderId="0" xfId="0" applyFont="1" applyFill="1" applyAlignment="1" applyProtection="1">
      <alignment horizontal="center" vertical="center"/>
    </xf>
    <xf numFmtId="0" fontId="3" fillId="4" borderId="3" xfId="0" applyFont="1" applyFill="1" applyBorder="1" applyAlignment="1" applyProtection="1">
      <alignment vertical="center"/>
    </xf>
    <xf numFmtId="14" fontId="3" fillId="4" borderId="0" xfId="0" applyNumberFormat="1" applyFont="1" applyFill="1" applyAlignment="1" applyProtection="1">
      <alignment horizontal="center" vertical="center"/>
    </xf>
    <xf numFmtId="0" fontId="13" fillId="3" borderId="63" xfId="0" applyFont="1" applyFill="1" applyBorder="1" applyAlignment="1" applyProtection="1">
      <alignment horizontal="left" vertical="center" wrapText="1"/>
    </xf>
    <xf numFmtId="0" fontId="13" fillId="3" borderId="66" xfId="0" applyFont="1" applyFill="1" applyBorder="1" applyAlignment="1" applyProtection="1">
      <alignment horizontal="left" vertical="center" wrapText="1"/>
    </xf>
    <xf numFmtId="0" fontId="13" fillId="3" borderId="55" xfId="0" applyFont="1" applyFill="1" applyBorder="1" applyAlignment="1" applyProtection="1">
      <alignment horizontal="left" vertical="center" wrapText="1"/>
    </xf>
    <xf numFmtId="0" fontId="2" fillId="2" borderId="0" xfId="0" applyFont="1" applyFill="1" applyProtection="1"/>
    <xf numFmtId="3" fontId="2" fillId="2" borderId="0" xfId="0" applyNumberFormat="1" applyFont="1" applyFill="1" applyAlignment="1" applyProtection="1">
      <alignment horizontal="center" vertical="center" wrapText="1"/>
    </xf>
    <xf numFmtId="0" fontId="5" fillId="2" borderId="0" xfId="0" applyFont="1" applyFill="1" applyAlignment="1" applyProtection="1">
      <alignment horizontal="center" vertical="center"/>
    </xf>
    <xf numFmtId="3" fontId="13" fillId="2" borderId="0" xfId="0" applyNumberFormat="1" applyFont="1" applyFill="1" applyAlignment="1" applyProtection="1">
      <alignment horizontal="center" vertical="center" wrapText="1"/>
    </xf>
    <xf numFmtId="0" fontId="2" fillId="2" borderId="0" xfId="0" applyFont="1" applyFill="1" applyAlignment="1" applyProtection="1">
      <alignment horizontal="center" vertical="center"/>
    </xf>
    <xf numFmtId="0" fontId="2" fillId="2" borderId="14" xfId="0" applyFont="1" applyFill="1" applyBorder="1" applyProtection="1"/>
    <xf numFmtId="0" fontId="2" fillId="0" borderId="0" xfId="0" applyFont="1" applyProtection="1"/>
    <xf numFmtId="0" fontId="2" fillId="0" borderId="0" xfId="0" applyFont="1" applyAlignment="1" applyProtection="1">
      <alignment horizontal="center" vertical="center"/>
    </xf>
    <xf numFmtId="0" fontId="2" fillId="2" borderId="0" xfId="0" applyFont="1" applyFill="1" applyBorder="1" applyAlignment="1" applyProtection="1">
      <alignment horizontal="center" vertical="center"/>
    </xf>
    <xf numFmtId="0" fontId="2" fillId="3" borderId="68" xfId="0" applyFont="1" applyFill="1" applyBorder="1" applyAlignment="1" applyProtection="1">
      <alignment vertical="center"/>
      <protection hidden="1"/>
    </xf>
    <xf numFmtId="0" fontId="11" fillId="2" borderId="0" xfId="0"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2" fillId="3" borderId="12" xfId="0" applyFont="1" applyFill="1" applyBorder="1" applyAlignment="1" applyProtection="1">
      <alignment horizontal="left" vertical="center"/>
      <protection hidden="1"/>
    </xf>
    <xf numFmtId="0" fontId="2" fillId="3" borderId="68" xfId="0" applyFont="1" applyFill="1" applyBorder="1" applyAlignment="1" applyProtection="1">
      <alignment horizontal="left" vertical="center" wrapText="1"/>
      <protection hidden="1"/>
    </xf>
    <xf numFmtId="37" fontId="2" fillId="3" borderId="68" xfId="7" applyNumberFormat="1" applyFont="1" applyFill="1" applyBorder="1" applyAlignment="1" applyProtection="1">
      <alignment horizontal="left" vertical="center"/>
    </xf>
    <xf numFmtId="0" fontId="12" fillId="3" borderId="68" xfId="0" applyFont="1" applyFill="1" applyBorder="1" applyAlignment="1" applyProtection="1">
      <alignment vertical="center"/>
      <protection hidden="1"/>
    </xf>
    <xf numFmtId="167" fontId="2" fillId="17" borderId="1" xfId="7" applyNumberFormat="1" applyFont="1" applyFill="1" applyBorder="1" applyAlignment="1" applyProtection="1">
      <alignment horizontal="center" vertical="center"/>
    </xf>
    <xf numFmtId="0" fontId="2" fillId="3" borderId="7" xfId="0" applyFont="1" applyFill="1" applyBorder="1" applyAlignment="1" applyProtection="1">
      <alignment horizontal="left" vertical="center"/>
      <protection hidden="1"/>
    </xf>
    <xf numFmtId="0" fontId="2" fillId="0" borderId="20" xfId="0" applyFont="1" applyBorder="1" applyAlignment="1" applyProtection="1">
      <alignment horizontal="center" vertical="center"/>
    </xf>
    <xf numFmtId="0" fontId="2" fillId="2" borderId="0" xfId="0" applyFont="1" applyFill="1" applyBorder="1" applyAlignment="1" applyProtection="1">
      <alignment vertical="center"/>
      <protection hidden="1"/>
    </xf>
    <xf numFmtId="0" fontId="12" fillId="3" borderId="68" xfId="0" applyFont="1" applyFill="1" applyBorder="1" applyProtection="1">
      <protection hidden="1"/>
    </xf>
    <xf numFmtId="43" fontId="2" fillId="17" borderId="68" xfId="7" applyFont="1" applyFill="1" applyBorder="1" applyAlignment="1" applyProtection="1">
      <alignment horizontal="center" vertical="center"/>
    </xf>
    <xf numFmtId="0" fontId="2" fillId="3" borderId="68" xfId="0" applyFont="1" applyFill="1" applyBorder="1" applyProtection="1">
      <protection hidden="1"/>
    </xf>
    <xf numFmtId="43" fontId="2" fillId="4" borderId="68" xfId="7" applyFont="1" applyFill="1" applyBorder="1" applyAlignment="1" applyProtection="1">
      <alignment horizontal="center" vertical="center"/>
    </xf>
    <xf numFmtId="37" fontId="2" fillId="3" borderId="68" xfId="7" applyNumberFormat="1" applyFont="1" applyFill="1" applyBorder="1" applyAlignment="1" applyProtection="1">
      <alignment horizontal="center" vertical="center"/>
    </xf>
    <xf numFmtId="0" fontId="2" fillId="0" borderId="68" xfId="0" applyFont="1" applyBorder="1" applyAlignment="1" applyProtection="1">
      <alignment horizontal="center" vertical="center" wrapText="1"/>
      <protection locked="0"/>
    </xf>
    <xf numFmtId="43" fontId="2" fillId="3" borderId="68" xfId="7" applyFont="1" applyFill="1" applyBorder="1" applyAlignment="1" applyProtection="1">
      <alignment horizontal="center" vertical="center" wrapText="1"/>
      <protection hidden="1"/>
    </xf>
    <xf numFmtId="0" fontId="2" fillId="0" borderId="68" xfId="0" applyFont="1" applyBorder="1" applyProtection="1">
      <protection locked="0" hidden="1"/>
    </xf>
    <xf numFmtId="0" fontId="40" fillId="3" borderId="68" xfId="0" applyFont="1" applyFill="1" applyBorder="1" applyAlignment="1" applyProtection="1">
      <alignment horizontal="center" vertical="center" wrapText="1"/>
      <protection hidden="1"/>
    </xf>
    <xf numFmtId="0" fontId="2" fillId="0" borderId="68" xfId="0" applyFont="1" applyBorder="1" applyAlignment="1" applyProtection="1">
      <alignment horizontal="center" vertical="center" wrapText="1"/>
      <protection locked="0" hidden="1"/>
    </xf>
    <xf numFmtId="167" fontId="2" fillId="2" borderId="68" xfId="7" applyNumberFormat="1" applyFont="1" applyFill="1" applyBorder="1" applyAlignment="1" applyProtection="1">
      <alignment horizontal="center" vertical="center"/>
      <protection locked="0"/>
    </xf>
    <xf numFmtId="168" fontId="2" fillId="17" borderId="68" xfId="6" applyNumberFormat="1" applyFont="1" applyFill="1" applyBorder="1" applyAlignment="1" applyProtection="1">
      <alignment horizontal="center" vertical="center"/>
    </xf>
    <xf numFmtId="167" fontId="26" fillId="2" borderId="68" xfId="7" applyNumberFormat="1" applyFont="1" applyFill="1" applyBorder="1" applyAlignment="1" applyProtection="1">
      <alignment horizontal="center" vertical="center"/>
      <protection locked="0"/>
    </xf>
    <xf numFmtId="168" fontId="26" fillId="17" borderId="68" xfId="6" applyNumberFormat="1" applyFont="1" applyFill="1" applyBorder="1" applyAlignment="1" applyProtection="1">
      <alignment horizontal="center" vertical="center"/>
    </xf>
    <xf numFmtId="167" fontId="26" fillId="3" borderId="68" xfId="7" applyNumberFormat="1" applyFont="1" applyFill="1" applyBorder="1" applyAlignment="1" applyProtection="1">
      <alignment horizontal="center" vertical="center"/>
      <protection locked="0"/>
    </xf>
    <xf numFmtId="168" fontId="13" fillId="17" borderId="68" xfId="6" applyNumberFormat="1" applyFont="1" applyFill="1" applyBorder="1" applyAlignment="1" applyProtection="1">
      <alignment horizontal="center" vertical="center"/>
    </xf>
    <xf numFmtId="168" fontId="27" fillId="17" borderId="68" xfId="6" applyNumberFormat="1" applyFont="1" applyFill="1" applyBorder="1" applyAlignment="1" applyProtection="1">
      <alignment horizontal="center" vertical="center"/>
    </xf>
    <xf numFmtId="167" fontId="41" fillId="17" borderId="68" xfId="7" applyNumberFormat="1" applyFont="1" applyFill="1" applyBorder="1" applyAlignment="1" applyProtection="1">
      <alignment horizontal="center" vertical="center"/>
    </xf>
    <xf numFmtId="167" fontId="27" fillId="17" borderId="68" xfId="7" applyNumberFormat="1" applyFont="1" applyFill="1" applyBorder="1" applyAlignment="1" applyProtection="1">
      <alignment horizontal="center" vertical="center"/>
    </xf>
    <xf numFmtId="0" fontId="27" fillId="17" borderId="68" xfId="6" applyNumberFormat="1" applyFont="1" applyFill="1" applyBorder="1" applyAlignment="1" applyProtection="1">
      <alignment horizontal="center" vertical="center"/>
    </xf>
    <xf numFmtId="167" fontId="2" fillId="17" borderId="64" xfId="7" applyNumberFormat="1" applyFont="1" applyFill="1" applyBorder="1" applyAlignment="1" applyProtection="1">
      <alignment horizontal="center" vertical="center"/>
    </xf>
    <xf numFmtId="167" fontId="26" fillId="17" borderId="64" xfId="7" applyNumberFormat="1" applyFont="1" applyFill="1" applyBorder="1" applyAlignment="1" applyProtection="1">
      <alignment horizontal="center" vertical="center"/>
    </xf>
    <xf numFmtId="166" fontId="2" fillId="17" borderId="64" xfId="1" applyNumberFormat="1" applyFont="1" applyFill="1" applyBorder="1" applyAlignment="1" applyProtection="1">
      <alignment horizontal="center" vertical="center"/>
    </xf>
    <xf numFmtId="166" fontId="26" fillId="17" borderId="64" xfId="1" applyNumberFormat="1" applyFont="1" applyFill="1" applyBorder="1" applyAlignment="1" applyProtection="1">
      <alignment horizontal="center" vertical="center"/>
    </xf>
    <xf numFmtId="170" fontId="2" fillId="17" borderId="65" xfId="7" applyNumberFormat="1" applyFont="1" applyFill="1" applyBorder="1" applyAlignment="1" applyProtection="1">
      <alignment horizontal="center" vertical="center"/>
    </xf>
    <xf numFmtId="167" fontId="26" fillId="17" borderId="1" xfId="7" applyNumberFormat="1" applyFont="1" applyFill="1" applyBorder="1" applyAlignment="1" applyProtection="1">
      <alignment horizontal="center" vertical="center"/>
    </xf>
    <xf numFmtId="166" fontId="2" fillId="17" borderId="1" xfId="1" applyNumberFormat="1" applyFont="1" applyFill="1" applyBorder="1" applyAlignment="1" applyProtection="1">
      <alignment horizontal="center" vertical="center"/>
    </xf>
    <xf numFmtId="166" fontId="26" fillId="17" borderId="1" xfId="1" applyNumberFormat="1" applyFont="1" applyFill="1" applyBorder="1" applyAlignment="1" applyProtection="1">
      <alignment horizontal="center" vertical="center"/>
    </xf>
    <xf numFmtId="170" fontId="2" fillId="17" borderId="67" xfId="7" applyNumberFormat="1" applyFont="1" applyFill="1" applyBorder="1" applyAlignment="1" applyProtection="1">
      <alignment horizontal="center" vertical="center"/>
    </xf>
    <xf numFmtId="167" fontId="2" fillId="17" borderId="54" xfId="7" applyNumberFormat="1" applyFont="1" applyFill="1" applyBorder="1" applyAlignment="1" applyProtection="1">
      <alignment horizontal="center" vertical="center"/>
    </xf>
    <xf numFmtId="167" fontId="26" fillId="17" borderId="54" xfId="7" applyNumberFormat="1" applyFont="1" applyFill="1" applyBorder="1" applyAlignment="1" applyProtection="1">
      <alignment horizontal="center" vertical="center"/>
    </xf>
    <xf numFmtId="166" fontId="2" fillId="17" borderId="54" xfId="1" applyNumberFormat="1" applyFont="1" applyFill="1" applyBorder="1" applyAlignment="1" applyProtection="1">
      <alignment horizontal="center" vertical="center"/>
    </xf>
    <xf numFmtId="166" fontId="26" fillId="17" borderId="54" xfId="1" applyNumberFormat="1" applyFont="1" applyFill="1" applyBorder="1" applyAlignment="1" applyProtection="1">
      <alignment horizontal="center" vertical="center"/>
    </xf>
    <xf numFmtId="170" fontId="2" fillId="17" borderId="58" xfId="7" applyNumberFormat="1" applyFont="1" applyFill="1" applyBorder="1" applyAlignment="1" applyProtection="1">
      <alignment horizontal="center" vertical="center"/>
    </xf>
    <xf numFmtId="0" fontId="13" fillId="3" borderId="73" xfId="0" applyFont="1" applyFill="1" applyBorder="1" applyAlignment="1" applyProtection="1">
      <alignment horizontal="center" vertical="center"/>
    </xf>
    <xf numFmtId="0" fontId="16" fillId="0" borderId="68" xfId="0" applyFont="1" applyBorder="1" applyAlignment="1" applyProtection="1">
      <alignment horizontal="left" vertical="center" wrapText="1" readingOrder="1"/>
      <protection locked="0"/>
    </xf>
    <xf numFmtId="0" fontId="16" fillId="0" borderId="68" xfId="0" applyFont="1" applyBorder="1" applyAlignment="1" applyProtection="1">
      <alignment horizontal="center" vertical="center" wrapText="1"/>
      <protection locked="0"/>
    </xf>
    <xf numFmtId="0" fontId="16" fillId="0" borderId="68" xfId="0" applyFont="1" applyBorder="1" applyAlignment="1" applyProtection="1">
      <alignment horizontal="left" vertical="center" wrapText="1"/>
      <protection locked="0"/>
    </xf>
    <xf numFmtId="3" fontId="16" fillId="0" borderId="68" xfId="0" applyNumberFormat="1" applyFont="1" applyBorder="1" applyAlignment="1" applyProtection="1">
      <alignment horizontal="center" vertical="center"/>
      <protection locked="0"/>
    </xf>
    <xf numFmtId="3" fontId="28" fillId="0" borderId="68" xfId="0" applyNumberFormat="1" applyFont="1" applyBorder="1" applyAlignment="1" applyProtection="1">
      <alignment horizontal="center" vertical="center"/>
      <protection locked="0"/>
    </xf>
    <xf numFmtId="166" fontId="16" fillId="0" borderId="68" xfId="1" applyNumberFormat="1" applyFont="1" applyBorder="1" applyAlignment="1" applyProtection="1">
      <alignment horizontal="center" vertical="center"/>
      <protection locked="0"/>
    </xf>
    <xf numFmtId="166" fontId="16" fillId="4" borderId="68" xfId="1" applyNumberFormat="1" applyFont="1" applyFill="1" applyBorder="1" applyAlignment="1" applyProtection="1">
      <alignment horizontal="center" vertical="center"/>
    </xf>
    <xf numFmtId="166" fontId="16" fillId="17" borderId="68" xfId="1" applyNumberFormat="1" applyFont="1" applyFill="1" applyBorder="1" applyAlignment="1" applyProtection="1">
      <alignment horizontal="center" vertical="center"/>
    </xf>
    <xf numFmtId="165" fontId="16" fillId="17" borderId="68" xfId="0" applyNumberFormat="1" applyFont="1" applyFill="1" applyBorder="1" applyAlignment="1" applyProtection="1">
      <alignment horizontal="center" vertical="center"/>
    </xf>
    <xf numFmtId="0" fontId="16" fillId="0" borderId="72" xfId="0" applyFont="1" applyBorder="1" applyAlignment="1" applyProtection="1">
      <alignment horizontal="left" vertical="center" wrapText="1"/>
      <protection locked="0"/>
    </xf>
    <xf numFmtId="44" fontId="28" fillId="4" borderId="68" xfId="1" applyFont="1" applyFill="1" applyBorder="1" applyAlignment="1" applyProtection="1">
      <alignment horizontal="center" vertical="center"/>
    </xf>
    <xf numFmtId="0" fontId="13" fillId="3" borderId="76" xfId="0" applyFont="1" applyFill="1" applyBorder="1" applyAlignment="1" applyProtection="1">
      <alignment horizontal="center" vertical="center"/>
    </xf>
    <xf numFmtId="0" fontId="16" fillId="0" borderId="77" xfId="0" applyFont="1" applyBorder="1" applyAlignment="1" applyProtection="1">
      <alignment horizontal="left" vertical="center" wrapText="1" readingOrder="1"/>
      <protection locked="0"/>
    </xf>
    <xf numFmtId="0" fontId="16" fillId="0" borderId="77" xfId="0" applyFont="1" applyBorder="1" applyAlignment="1" applyProtection="1">
      <alignment horizontal="center" vertical="center" wrapText="1"/>
      <protection locked="0"/>
    </xf>
    <xf numFmtId="0" fontId="16" fillId="0" borderId="77" xfId="0" applyFont="1" applyBorder="1" applyAlignment="1" applyProtection="1">
      <alignment horizontal="left" vertical="center" wrapText="1"/>
      <protection locked="0"/>
    </xf>
    <xf numFmtId="3" fontId="16" fillId="0" borderId="77" xfId="0" applyNumberFormat="1" applyFont="1" applyBorder="1" applyAlignment="1" applyProtection="1">
      <alignment horizontal="center" vertical="center"/>
      <protection locked="0"/>
    </xf>
    <xf numFmtId="3" fontId="28" fillId="0" borderId="77" xfId="0" applyNumberFormat="1" applyFont="1" applyBorder="1" applyAlignment="1" applyProtection="1">
      <alignment horizontal="center" vertical="center"/>
      <protection locked="0"/>
    </xf>
    <xf numFmtId="166" fontId="16" fillId="0" borderId="77" xfId="1" applyNumberFormat="1" applyFont="1" applyBorder="1" applyAlignment="1" applyProtection="1">
      <alignment horizontal="center" vertical="center"/>
      <protection locked="0"/>
    </xf>
    <xf numFmtId="166" fontId="16" fillId="4" borderId="77" xfId="1" applyNumberFormat="1" applyFont="1" applyFill="1" applyBorder="1" applyAlignment="1" applyProtection="1">
      <alignment horizontal="center" vertical="center"/>
    </xf>
    <xf numFmtId="44" fontId="28" fillId="4" borderId="77" xfId="1" applyFont="1" applyFill="1" applyBorder="1" applyAlignment="1" applyProtection="1">
      <alignment horizontal="center" vertical="center"/>
    </xf>
    <xf numFmtId="166" fontId="16" fillId="17" borderId="77" xfId="1" applyNumberFormat="1" applyFont="1" applyFill="1" applyBorder="1" applyAlignment="1" applyProtection="1">
      <alignment horizontal="center" vertical="center"/>
    </xf>
    <xf numFmtId="165" fontId="16" fillId="17" borderId="77" xfId="0" applyNumberFormat="1" applyFont="1" applyFill="1" applyBorder="1" applyAlignment="1" applyProtection="1">
      <alignment horizontal="center" vertical="center"/>
    </xf>
    <xf numFmtId="0" fontId="16" fillId="0" borderId="78" xfId="0" applyFont="1" applyBorder="1" applyAlignment="1" applyProtection="1">
      <alignment horizontal="left" vertical="center" wrapText="1"/>
      <protection locked="0"/>
    </xf>
    <xf numFmtId="0" fontId="13" fillId="3" borderId="74" xfId="0" applyFont="1" applyFill="1" applyBorder="1" applyAlignment="1" applyProtection="1">
      <alignment horizontal="center" vertical="center"/>
    </xf>
    <xf numFmtId="0" fontId="16" fillId="0" borderId="70" xfId="0" applyFont="1" applyBorder="1" applyAlignment="1" applyProtection="1">
      <alignment horizontal="left" vertical="center" wrapText="1" readingOrder="1"/>
      <protection locked="0"/>
    </xf>
    <xf numFmtId="0" fontId="16" fillId="0" borderId="70" xfId="0" applyFont="1" applyBorder="1" applyAlignment="1" applyProtection="1">
      <alignment horizontal="center" vertical="center" wrapText="1"/>
      <protection locked="0"/>
    </xf>
    <xf numFmtId="0" fontId="16" fillId="0" borderId="70" xfId="0" applyFont="1" applyBorder="1" applyAlignment="1" applyProtection="1">
      <alignment horizontal="left" vertical="center" wrapText="1"/>
      <protection locked="0"/>
    </xf>
    <xf numFmtId="166" fontId="16" fillId="17" borderId="70" xfId="1" applyNumberFormat="1" applyFont="1" applyFill="1" applyBorder="1" applyAlignment="1" applyProtection="1">
      <alignment horizontal="center" vertical="center" wrapText="1"/>
    </xf>
    <xf numFmtId="3" fontId="28" fillId="0" borderId="70" xfId="0" applyNumberFormat="1" applyFont="1" applyBorder="1" applyAlignment="1" applyProtection="1">
      <alignment horizontal="center" vertical="center"/>
      <protection locked="0"/>
    </xf>
    <xf numFmtId="166" fontId="16" fillId="0" borderId="70" xfId="1" applyNumberFormat="1" applyFont="1" applyBorder="1" applyAlignment="1" applyProtection="1">
      <alignment horizontal="center" vertical="center"/>
      <protection locked="0"/>
    </xf>
    <xf numFmtId="166" fontId="16" fillId="4" borderId="70" xfId="1" applyNumberFormat="1" applyFont="1" applyFill="1" applyBorder="1" applyAlignment="1" applyProtection="1">
      <alignment horizontal="center" vertical="center"/>
    </xf>
    <xf numFmtId="166" fontId="28" fillId="4" borderId="70" xfId="1" applyNumberFormat="1" applyFont="1" applyFill="1" applyBorder="1" applyAlignment="1" applyProtection="1">
      <alignment horizontal="center" vertical="center"/>
    </xf>
    <xf numFmtId="166" fontId="16" fillId="17" borderId="70" xfId="1" applyNumberFormat="1" applyFont="1" applyFill="1" applyBorder="1" applyAlignment="1" applyProtection="1">
      <alignment horizontal="center" vertical="center"/>
    </xf>
    <xf numFmtId="165" fontId="16" fillId="17" borderId="70" xfId="0" applyNumberFormat="1" applyFont="1" applyFill="1" applyBorder="1" applyAlignment="1" applyProtection="1">
      <alignment horizontal="center" vertical="center"/>
    </xf>
    <xf numFmtId="0" fontId="16" fillId="0" borderId="75" xfId="0" applyFont="1" applyBorder="1" applyAlignment="1" applyProtection="1">
      <alignment horizontal="left" vertical="center" wrapText="1"/>
      <protection locked="0"/>
    </xf>
    <xf numFmtId="0" fontId="31" fillId="18" borderId="79" xfId="0" applyFont="1" applyFill="1" applyBorder="1" applyAlignment="1" applyProtection="1">
      <alignment horizontal="center" vertical="center" wrapText="1"/>
      <protection hidden="1"/>
    </xf>
    <xf numFmtId="164" fontId="31" fillId="18" borderId="79" xfId="0" applyNumberFormat="1" applyFont="1" applyFill="1" applyBorder="1" applyAlignment="1" applyProtection="1">
      <alignment horizontal="center" vertical="center" wrapText="1"/>
      <protection hidden="1"/>
    </xf>
    <xf numFmtId="166" fontId="31" fillId="18" borderId="79" xfId="1" applyNumberFormat="1" applyFont="1" applyFill="1" applyBorder="1" applyAlignment="1" applyProtection="1">
      <alignment horizontal="center" vertical="center" wrapText="1"/>
      <protection hidden="1"/>
    </xf>
    <xf numFmtId="0" fontId="31" fillId="18" borderId="60" xfId="0" applyFont="1" applyFill="1" applyBorder="1" applyAlignment="1" applyProtection="1">
      <alignment horizontal="center" vertical="center" wrapText="1"/>
      <protection hidden="1"/>
    </xf>
    <xf numFmtId="3" fontId="31" fillId="18" borderId="61" xfId="0" applyNumberFormat="1" applyFont="1" applyFill="1" applyBorder="1" applyAlignment="1" applyProtection="1">
      <alignment horizontal="center" vertical="center" wrapText="1"/>
      <protection hidden="1"/>
    </xf>
    <xf numFmtId="164" fontId="31" fillId="18" borderId="61" xfId="0" applyNumberFormat="1" applyFont="1" applyFill="1" applyBorder="1" applyAlignment="1" applyProtection="1">
      <alignment horizontal="center" vertical="center" wrapText="1"/>
      <protection hidden="1"/>
    </xf>
    <xf numFmtId="166" fontId="31" fillId="18" borderId="61" xfId="1" applyNumberFormat="1" applyFont="1" applyFill="1" applyBorder="1" applyAlignment="1" applyProtection="1">
      <alignment horizontal="center" vertical="center" wrapText="1"/>
      <protection hidden="1"/>
    </xf>
    <xf numFmtId="166" fontId="31" fillId="18" borderId="62" xfId="1" applyNumberFormat="1" applyFont="1" applyFill="1" applyBorder="1" applyAlignment="1" applyProtection="1">
      <alignment horizontal="center" vertical="center" wrapText="1"/>
      <protection hidden="1"/>
    </xf>
    <xf numFmtId="0" fontId="42" fillId="0" borderId="70" xfId="0" applyFont="1" applyBorder="1" applyAlignment="1" applyProtection="1">
      <alignment horizontal="left" vertical="center" wrapText="1"/>
      <protection locked="0"/>
    </xf>
    <xf numFmtId="0" fontId="42" fillId="0" borderId="68" xfId="0" applyFont="1" applyBorder="1" applyAlignment="1" applyProtection="1">
      <alignment horizontal="left" vertical="center" wrapText="1"/>
      <protection locked="0"/>
    </xf>
    <xf numFmtId="0" fontId="42" fillId="0" borderId="77" xfId="0" applyFont="1" applyBorder="1" applyAlignment="1" applyProtection="1">
      <alignment horizontal="left" vertical="center" wrapText="1"/>
      <protection locked="0"/>
    </xf>
    <xf numFmtId="0" fontId="2" fillId="3" borderId="68" xfId="0" applyFont="1" applyFill="1" applyBorder="1" applyAlignment="1" applyProtection="1">
      <alignment horizontal="center" vertical="center" wrapText="1"/>
      <protection hidden="1"/>
    </xf>
    <xf numFmtId="0" fontId="2" fillId="0" borderId="68" xfId="0" applyFont="1" applyBorder="1" applyAlignment="1" applyProtection="1">
      <alignment horizontal="center" vertical="center"/>
      <protection locked="0"/>
    </xf>
    <xf numFmtId="0" fontId="12" fillId="3" borderId="68" xfId="0" applyFont="1" applyFill="1" applyBorder="1" applyAlignment="1" applyProtection="1">
      <alignment horizontal="center"/>
      <protection hidden="1"/>
    </xf>
    <xf numFmtId="0" fontId="2" fillId="0" borderId="0" xfId="0" applyFont="1" applyAlignment="1" applyProtection="1">
      <alignment horizontal="center"/>
      <protection hidden="1"/>
    </xf>
    <xf numFmtId="0" fontId="2" fillId="3" borderId="68" xfId="0" applyFont="1" applyFill="1" applyBorder="1" applyAlignment="1" applyProtection="1">
      <alignment horizontal="center"/>
      <protection hidden="1"/>
    </xf>
    <xf numFmtId="0" fontId="2" fillId="3" borderId="68" xfId="0" applyFont="1" applyFill="1" applyBorder="1" applyAlignment="1" applyProtection="1">
      <alignment vertical="center" wrapText="1"/>
      <protection hidden="1"/>
    </xf>
    <xf numFmtId="167" fontId="2" fillId="17" borderId="68" xfId="7" applyNumberFormat="1" applyFont="1" applyFill="1" applyBorder="1" applyAlignment="1" applyProtection="1">
      <alignment horizontal="center" vertical="center"/>
    </xf>
    <xf numFmtId="0" fontId="2" fillId="3" borderId="68" xfId="0" applyFont="1" applyFill="1" applyBorder="1" applyAlignment="1" applyProtection="1">
      <alignment horizontal="left" vertical="center"/>
      <protection hidden="1"/>
    </xf>
    <xf numFmtId="0" fontId="12" fillId="3" borderId="68" xfId="0" applyFont="1" applyFill="1" applyBorder="1" applyAlignment="1" applyProtection="1">
      <alignment horizontal="center" vertical="center" wrapText="1"/>
      <protection hidden="1"/>
    </xf>
    <xf numFmtId="0" fontId="16" fillId="3" borderId="83" xfId="0" applyFont="1" applyFill="1" applyBorder="1" applyAlignment="1">
      <alignment horizontal="left" vertical="center" wrapText="1"/>
    </xf>
    <xf numFmtId="0" fontId="48" fillId="0" borderId="0" xfId="0" quotePrefix="1" applyFont="1" applyAlignment="1" applyProtection="1">
      <alignment vertical="center"/>
      <protection hidden="1"/>
    </xf>
    <xf numFmtId="0" fontId="48" fillId="0" borderId="0" xfId="0" applyFont="1" applyAlignment="1" applyProtection="1">
      <alignment vertical="center"/>
      <protection hidden="1"/>
    </xf>
    <xf numFmtId="0" fontId="33" fillId="0" borderId="0" xfId="0" quotePrefix="1" applyFont="1" applyAlignment="1" applyProtection="1">
      <alignment vertical="center"/>
      <protection hidden="1"/>
    </xf>
    <xf numFmtId="0" fontId="49" fillId="0" borderId="0" xfId="0" applyFont="1" applyAlignment="1" applyProtection="1">
      <alignment horizontal="left" vertical="center" indent="4"/>
      <protection hidden="1"/>
    </xf>
    <xf numFmtId="0" fontId="48" fillId="0" borderId="68" xfId="0" applyFont="1" applyBorder="1" applyAlignment="1" applyProtection="1">
      <alignment horizontal="left" vertical="center"/>
      <protection hidden="1"/>
    </xf>
    <xf numFmtId="37" fontId="16" fillId="0" borderId="70" xfId="0" applyNumberFormat="1" applyFont="1" applyBorder="1" applyAlignment="1" applyProtection="1">
      <alignment horizontal="center" vertical="center"/>
      <protection locked="0"/>
    </xf>
    <xf numFmtId="164" fontId="31" fillId="18" borderId="84" xfId="0" applyNumberFormat="1" applyFont="1" applyFill="1" applyBorder="1" applyAlignment="1" applyProtection="1">
      <alignment horizontal="center" vertical="center" wrapText="1"/>
      <protection hidden="1"/>
    </xf>
    <xf numFmtId="0" fontId="13" fillId="19" borderId="0" xfId="0" applyNumberFormat="1" applyFont="1" applyFill="1" applyAlignment="1" applyProtection="1">
      <alignment horizontal="center" vertical="center" wrapText="1"/>
    </xf>
    <xf numFmtId="169" fontId="3" fillId="0" borderId="1" xfId="7" applyNumberFormat="1" applyFont="1" applyBorder="1" applyAlignment="1">
      <alignment vertical="center"/>
    </xf>
    <xf numFmtId="0" fontId="53" fillId="0" borderId="0" xfId="11" quotePrefix="1" applyFont="1" applyAlignment="1" applyProtection="1">
      <alignment horizontal="left" vertical="center"/>
      <protection hidden="1"/>
    </xf>
    <xf numFmtId="0" fontId="44" fillId="2" borderId="0" xfId="4" applyFont="1" applyFill="1" applyBorder="1" applyAlignment="1" applyProtection="1">
      <alignment horizontal="left" vertical="center" wrapText="1"/>
      <protection hidden="1"/>
    </xf>
    <xf numFmtId="0" fontId="2" fillId="0" borderId="68" xfId="0" applyFont="1" applyBorder="1" applyAlignment="1" applyProtection="1">
      <alignment horizontal="left" vertical="center" wrapText="1"/>
      <protection hidden="1"/>
    </xf>
    <xf numFmtId="0" fontId="2" fillId="0" borderId="0"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48" fillId="0" borderId="68" xfId="0" applyFont="1" applyBorder="1" applyAlignment="1" applyProtection="1">
      <alignment horizontal="left" vertical="center"/>
      <protection hidden="1"/>
    </xf>
    <xf numFmtId="0" fontId="48" fillId="0" borderId="0" xfId="0" quotePrefix="1" applyFont="1" applyAlignment="1" applyProtection="1">
      <alignment horizontal="left" vertical="center" wrapText="1"/>
      <protection hidden="1"/>
    </xf>
    <xf numFmtId="0" fontId="48" fillId="0" borderId="0" xfId="0" applyFont="1" applyAlignment="1" applyProtection="1">
      <alignment horizontal="left" vertical="center" wrapText="1"/>
      <protection hidden="1"/>
    </xf>
    <xf numFmtId="0" fontId="14" fillId="3" borderId="68" xfId="4" applyFont="1" applyFill="1" applyBorder="1" applyAlignment="1" applyProtection="1">
      <alignment horizontal="left" vertical="center" wrapText="1"/>
      <protection hidden="1"/>
    </xf>
    <xf numFmtId="0" fontId="14" fillId="0" borderId="68" xfId="4" applyFont="1" applyBorder="1" applyAlignment="1" applyProtection="1">
      <alignment horizontal="left" vertical="center" wrapText="1"/>
      <protection hidden="1"/>
    </xf>
    <xf numFmtId="0" fontId="14" fillId="17" borderId="68" xfId="4" applyFont="1" applyFill="1" applyBorder="1" applyAlignment="1" applyProtection="1">
      <alignment horizontal="left" vertical="center" wrapText="1"/>
      <protection hidden="1"/>
    </xf>
    <xf numFmtId="0" fontId="26" fillId="17" borderId="68" xfId="4" applyFont="1" applyFill="1" applyBorder="1" applyAlignment="1" applyProtection="1">
      <alignment horizontal="left" vertical="center" wrapText="1"/>
      <protection hidden="1"/>
    </xf>
    <xf numFmtId="0" fontId="2" fillId="0" borderId="0" xfId="0" applyFont="1" applyAlignment="1" applyProtection="1">
      <alignment horizontal="left" wrapText="1"/>
      <protection hidden="1"/>
    </xf>
    <xf numFmtId="0" fontId="44" fillId="0" borderId="70" xfId="4" applyFont="1" applyFill="1" applyBorder="1" applyAlignment="1" applyProtection="1">
      <alignment horizontal="left" vertical="center" wrapText="1"/>
      <protection hidden="1"/>
    </xf>
    <xf numFmtId="0" fontId="14" fillId="2" borderId="68" xfId="4" applyFont="1" applyFill="1" applyBorder="1" applyAlignment="1" applyProtection="1">
      <alignment horizontal="left" vertical="center" wrapText="1"/>
      <protection hidden="1"/>
    </xf>
    <xf numFmtId="0" fontId="43" fillId="0" borderId="78" xfId="4" applyFont="1" applyFill="1" applyBorder="1" applyAlignment="1" applyProtection="1">
      <alignment horizontal="center" wrapText="1"/>
      <protection hidden="1"/>
    </xf>
    <xf numFmtId="0" fontId="43" fillId="0" borderId="80" xfId="4" applyFont="1" applyFill="1" applyBorder="1" applyAlignment="1" applyProtection="1">
      <alignment horizontal="center" wrapText="1"/>
      <protection hidden="1"/>
    </xf>
    <xf numFmtId="0" fontId="43" fillId="0" borderId="76" xfId="4" applyFont="1" applyFill="1" applyBorder="1" applyAlignment="1" applyProtection="1">
      <alignment horizontal="center" wrapText="1"/>
      <protection hidden="1"/>
    </xf>
    <xf numFmtId="0" fontId="43" fillId="0" borderId="85" xfId="4" applyFont="1" applyFill="1" applyBorder="1" applyAlignment="1" applyProtection="1">
      <alignment horizontal="center" wrapText="1"/>
      <protection hidden="1"/>
    </xf>
    <xf numFmtId="0" fontId="43" fillId="0" borderId="0" xfId="4" applyFont="1" applyFill="1" applyBorder="1" applyAlignment="1" applyProtection="1">
      <alignment horizontal="center" wrapText="1"/>
      <protection hidden="1"/>
    </xf>
    <xf numFmtId="0" fontId="43" fillId="0" borderId="81" xfId="4" applyFont="1" applyFill="1" applyBorder="1" applyAlignment="1" applyProtection="1">
      <alignment horizontal="center" wrapText="1"/>
      <protection hidden="1"/>
    </xf>
    <xf numFmtId="0" fontId="43" fillId="0" borderId="75" xfId="4" applyFont="1" applyFill="1" applyBorder="1" applyAlignment="1" applyProtection="1">
      <alignment horizontal="center" wrapText="1"/>
      <protection hidden="1"/>
    </xf>
    <xf numFmtId="0" fontId="43" fillId="0" borderId="82" xfId="4" applyFont="1" applyFill="1" applyBorder="1" applyAlignment="1" applyProtection="1">
      <alignment horizontal="center" wrapText="1"/>
      <protection hidden="1"/>
    </xf>
    <xf numFmtId="0" fontId="43" fillId="0" borderId="74" xfId="4" applyFont="1" applyFill="1" applyBorder="1" applyAlignment="1" applyProtection="1">
      <alignment horizontal="center" wrapText="1"/>
      <protection hidden="1"/>
    </xf>
    <xf numFmtId="0" fontId="51" fillId="0" borderId="72" xfId="4" applyFont="1" applyFill="1" applyBorder="1" applyAlignment="1" applyProtection="1">
      <alignment horizontal="center" wrapText="1"/>
      <protection hidden="1"/>
    </xf>
    <xf numFmtId="0" fontId="43" fillId="0" borderId="86" xfId="4" applyFont="1" applyFill="1" applyBorder="1" applyAlignment="1" applyProtection="1">
      <alignment horizontal="center" wrapText="1"/>
      <protection hidden="1"/>
    </xf>
    <xf numFmtId="0" fontId="43" fillId="0" borderId="73" xfId="4" applyFont="1" applyFill="1" applyBorder="1" applyAlignment="1" applyProtection="1">
      <alignment horizontal="center" wrapText="1"/>
      <protection hidden="1"/>
    </xf>
    <xf numFmtId="0" fontId="12" fillId="3" borderId="68" xfId="0" applyFont="1" applyFill="1" applyBorder="1" applyAlignment="1" applyProtection="1">
      <alignment horizontal="center"/>
      <protection hidden="1"/>
    </xf>
    <xf numFmtId="0" fontId="2" fillId="0" borderId="68" xfId="0" applyFont="1" applyBorder="1" applyAlignment="1" applyProtection="1">
      <alignment horizontal="center"/>
      <protection locked="0" hidden="1"/>
    </xf>
    <xf numFmtId="0" fontId="2" fillId="3" borderId="68" xfId="0" applyFont="1" applyFill="1" applyBorder="1" applyAlignment="1" applyProtection="1">
      <alignment horizontal="center" vertical="center" wrapText="1"/>
      <protection hidden="1"/>
    </xf>
    <xf numFmtId="49" fontId="2" fillId="0" borderId="68" xfId="0" applyNumberFormat="1" applyFont="1" applyBorder="1" applyAlignment="1" applyProtection="1">
      <alignment horizontal="center" vertical="center" wrapText="1"/>
      <protection locked="0" hidden="1"/>
    </xf>
    <xf numFmtId="0" fontId="2" fillId="3" borderId="68" xfId="0" applyFont="1" applyFill="1" applyBorder="1" applyAlignment="1" applyProtection="1">
      <alignment vertical="center" wrapText="1"/>
      <protection hidden="1"/>
    </xf>
    <xf numFmtId="167" fontId="2" fillId="0" borderId="68" xfId="7" applyNumberFormat="1" applyFont="1" applyBorder="1" applyAlignment="1" applyProtection="1">
      <alignment horizontal="center" vertical="center"/>
      <protection locked="0"/>
    </xf>
    <xf numFmtId="0" fontId="12" fillId="3" borderId="68" xfId="0" applyFont="1" applyFill="1" applyBorder="1" applyAlignment="1" applyProtection="1">
      <alignment horizontal="center" vertical="center" wrapText="1"/>
      <protection hidden="1"/>
    </xf>
    <xf numFmtId="167" fontId="2" fillId="17" borderId="68" xfId="7" applyNumberFormat="1" applyFont="1" applyFill="1" applyBorder="1" applyAlignment="1" applyProtection="1">
      <alignment horizontal="center" vertical="center"/>
    </xf>
    <xf numFmtId="0" fontId="46" fillId="18" borderId="68" xfId="0" applyFont="1" applyFill="1" applyBorder="1" applyAlignment="1" applyProtection="1">
      <alignment horizontal="left" vertical="center"/>
      <protection hidden="1"/>
    </xf>
    <xf numFmtId="37" fontId="12" fillId="3" borderId="68" xfId="7" applyNumberFormat="1" applyFont="1" applyFill="1" applyBorder="1" applyAlignment="1" applyProtection="1">
      <alignment horizontal="center" vertical="center"/>
    </xf>
    <xf numFmtId="0" fontId="2" fillId="0" borderId="68" xfId="0" applyNumberFormat="1" applyFont="1" applyBorder="1" applyAlignment="1" applyProtection="1">
      <alignment horizontal="center" vertical="center"/>
      <protection locked="0"/>
    </xf>
    <xf numFmtId="0" fontId="2" fillId="17" borderId="68" xfId="0" applyNumberFormat="1" applyFont="1" applyFill="1" applyBorder="1" applyAlignment="1" applyProtection="1">
      <alignment horizontal="left" vertical="center" wrapText="1"/>
    </xf>
    <xf numFmtId="49" fontId="2" fillId="0" borderId="68" xfId="0" applyNumberFormat="1" applyFont="1" applyBorder="1" applyAlignment="1" applyProtection="1">
      <alignment horizontal="left" vertical="center"/>
      <protection locked="0"/>
    </xf>
    <xf numFmtId="0" fontId="2" fillId="0" borderId="68" xfId="0" applyFont="1" applyBorder="1" applyAlignment="1" applyProtection="1">
      <alignment horizontal="center" vertical="center"/>
      <protection locked="0"/>
    </xf>
    <xf numFmtId="0" fontId="2" fillId="3" borderId="68" xfId="0" applyFont="1" applyFill="1" applyBorder="1" applyAlignment="1" applyProtection="1">
      <alignment horizontal="left" vertical="center"/>
      <protection hidden="1"/>
    </xf>
    <xf numFmtId="0" fontId="2" fillId="0" borderId="0" xfId="0" applyFont="1" applyAlignment="1" applyProtection="1">
      <alignment horizontal="center"/>
      <protection hidden="1"/>
    </xf>
    <xf numFmtId="37" fontId="2" fillId="0" borderId="68" xfId="7" applyNumberFormat="1" applyFont="1" applyBorder="1" applyAlignment="1" applyProtection="1">
      <alignment horizontal="center" vertical="center"/>
      <protection locked="0"/>
    </xf>
    <xf numFmtId="49" fontId="2" fillId="2" borderId="68" xfId="0" applyNumberFormat="1" applyFont="1" applyFill="1" applyBorder="1" applyAlignment="1" applyProtection="1">
      <alignment horizontal="left" vertical="top" wrapText="1"/>
      <protection locked="0" hidden="1"/>
    </xf>
    <xf numFmtId="0" fontId="12" fillId="3" borderId="68" xfId="0" applyFont="1" applyFill="1" applyBorder="1" applyAlignment="1" applyProtection="1">
      <alignment horizontal="left" vertical="center"/>
      <protection hidden="1"/>
    </xf>
    <xf numFmtId="167" fontId="2" fillId="0" borderId="68" xfId="7" applyNumberFormat="1" applyFont="1" applyBorder="1" applyAlignment="1" applyProtection="1">
      <alignment horizontal="right" vertical="center"/>
      <protection locked="0"/>
    </xf>
    <xf numFmtId="0" fontId="2" fillId="0" borderId="19" xfId="0" applyFont="1" applyBorder="1" applyAlignment="1" applyProtection="1">
      <alignment horizontal="center"/>
      <protection hidden="1"/>
    </xf>
    <xf numFmtId="0" fontId="2" fillId="0" borderId="15" xfId="0" applyFont="1" applyBorder="1" applyAlignment="1" applyProtection="1">
      <alignment horizontal="center"/>
      <protection hidden="1"/>
    </xf>
    <xf numFmtId="0" fontId="2" fillId="0" borderId="17" xfId="0" applyFont="1" applyBorder="1" applyAlignment="1" applyProtection="1">
      <alignment horizontal="center"/>
      <protection hidden="1"/>
    </xf>
    <xf numFmtId="0" fontId="2" fillId="0" borderId="71" xfId="0" applyFont="1" applyBorder="1" applyAlignment="1" applyProtection="1">
      <alignment horizontal="center"/>
      <protection hidden="1"/>
    </xf>
    <xf numFmtId="0" fontId="45" fillId="2" borderId="0" xfId="0" applyFont="1" applyFill="1" applyBorder="1" applyAlignment="1" applyProtection="1">
      <alignment horizontal="left" vertical="center"/>
      <protection hidden="1"/>
    </xf>
    <xf numFmtId="166" fontId="2" fillId="4" borderId="68" xfId="1" applyNumberFormat="1" applyFont="1" applyFill="1" applyBorder="1" applyAlignment="1" applyProtection="1">
      <alignment horizontal="center" vertical="center"/>
    </xf>
    <xf numFmtId="0" fontId="13" fillId="3" borderId="68" xfId="0" applyFont="1" applyFill="1" applyBorder="1" applyAlignment="1" applyProtection="1">
      <alignment horizontal="right" vertical="center" wrapText="1"/>
      <protection hidden="1"/>
    </xf>
    <xf numFmtId="166" fontId="2" fillId="0" borderId="68" xfId="1" applyNumberFormat="1" applyFont="1" applyBorder="1" applyAlignment="1" applyProtection="1">
      <alignment horizontal="center" vertical="center"/>
      <protection locked="0"/>
    </xf>
    <xf numFmtId="43" fontId="2" fillId="17" borderId="68" xfId="7" applyNumberFormat="1" applyFont="1" applyFill="1" applyBorder="1" applyAlignment="1" applyProtection="1">
      <alignment horizontal="center" vertical="center"/>
    </xf>
    <xf numFmtId="3" fontId="2" fillId="0" borderId="68" xfId="0" applyNumberFormat="1" applyFont="1" applyBorder="1" applyAlignment="1" applyProtection="1">
      <alignment horizontal="center" vertical="center"/>
      <protection locked="0"/>
    </xf>
    <xf numFmtId="37" fontId="2" fillId="3" borderId="72" xfId="7" applyNumberFormat="1" applyFont="1" applyFill="1" applyBorder="1" applyAlignment="1" applyProtection="1">
      <alignment horizontal="center" vertical="center"/>
    </xf>
    <xf numFmtId="37" fontId="2" fillId="3" borderId="73" xfId="7" applyNumberFormat="1" applyFont="1" applyFill="1" applyBorder="1" applyAlignment="1" applyProtection="1">
      <alignment horizontal="center" vertical="center"/>
    </xf>
    <xf numFmtId="0" fontId="12" fillId="3" borderId="68" xfId="0" applyFont="1" applyFill="1" applyBorder="1" applyAlignment="1" applyProtection="1">
      <alignment horizontal="center" vertical="center"/>
      <protection hidden="1"/>
    </xf>
    <xf numFmtId="0" fontId="2" fillId="0" borderId="18" xfId="0" applyFont="1" applyBorder="1" applyAlignment="1" applyProtection="1">
      <alignment horizontal="center"/>
      <protection hidden="1"/>
    </xf>
    <xf numFmtId="0" fontId="2" fillId="0" borderId="14" xfId="0" applyFont="1" applyBorder="1" applyAlignment="1" applyProtection="1">
      <alignment horizontal="center"/>
      <protection hidden="1"/>
    </xf>
    <xf numFmtId="0" fontId="2" fillId="0" borderId="16" xfId="0" applyFont="1" applyBorder="1" applyAlignment="1" applyProtection="1">
      <alignment horizontal="center"/>
      <protection hidden="1"/>
    </xf>
    <xf numFmtId="0" fontId="2" fillId="0" borderId="69" xfId="0" applyFont="1" applyBorder="1" applyAlignment="1" applyProtection="1">
      <alignment horizontal="center"/>
      <protection hidden="1"/>
    </xf>
    <xf numFmtId="0" fontId="2" fillId="3" borderId="68" xfId="0" applyFont="1" applyFill="1" applyBorder="1" applyAlignment="1" applyProtection="1">
      <alignment horizontal="center"/>
      <protection hidden="1"/>
    </xf>
    <xf numFmtId="166" fontId="2" fillId="0" borderId="68" xfId="1" applyNumberFormat="1" applyFont="1" applyBorder="1" applyAlignment="1" applyProtection="1">
      <alignment horizontal="center" vertical="center"/>
    </xf>
    <xf numFmtId="0" fontId="5" fillId="5" borderId="7" xfId="0" applyFont="1" applyFill="1" applyBorder="1" applyAlignment="1" applyProtection="1">
      <alignment horizontal="center" vertical="center"/>
    </xf>
    <xf numFmtId="0" fontId="5" fillId="5" borderId="8" xfId="0" applyFont="1" applyFill="1" applyBorder="1" applyAlignment="1" applyProtection="1">
      <alignment horizontal="center" vertical="center"/>
    </xf>
    <xf numFmtId="0" fontId="5" fillId="5" borderId="9" xfId="0" applyFont="1" applyFill="1" applyBorder="1" applyAlignment="1" applyProtection="1">
      <alignment horizontal="center" vertical="center"/>
    </xf>
    <xf numFmtId="0" fontId="2" fillId="3" borderId="12" xfId="0" applyFont="1" applyFill="1" applyBorder="1" applyAlignment="1" applyProtection="1">
      <alignment horizontal="center"/>
      <protection hidden="1"/>
    </xf>
    <xf numFmtId="0" fontId="2" fillId="3" borderId="5" xfId="0" applyFont="1" applyFill="1" applyBorder="1" applyAlignment="1" applyProtection="1">
      <alignment horizontal="center"/>
      <protection hidden="1"/>
    </xf>
    <xf numFmtId="0" fontId="2" fillId="3" borderId="6" xfId="0" applyFont="1" applyFill="1" applyBorder="1" applyAlignment="1" applyProtection="1">
      <alignment horizontal="center"/>
      <protection hidden="1"/>
    </xf>
    <xf numFmtId="167" fontId="2" fillId="3" borderId="68" xfId="7" applyNumberFormat="1" applyFont="1" applyFill="1" applyBorder="1" applyAlignment="1" applyProtection="1">
      <alignment horizontal="center" vertical="center"/>
    </xf>
    <xf numFmtId="0" fontId="2" fillId="5" borderId="12"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3" fillId="8" borderId="2" xfId="0" applyFont="1" applyFill="1" applyBorder="1" applyAlignment="1" applyProtection="1">
      <alignment horizontal="center" vertical="center"/>
    </xf>
    <xf numFmtId="0" fontId="3" fillId="8" borderId="13" xfId="0" applyFont="1" applyFill="1" applyBorder="1" applyAlignment="1" applyProtection="1">
      <alignment horizontal="center" vertical="center"/>
    </xf>
    <xf numFmtId="14" fontId="3" fillId="4" borderId="2" xfId="0" applyNumberFormat="1" applyFont="1" applyFill="1" applyBorder="1" applyAlignment="1" applyProtection="1">
      <alignment horizontal="center" vertical="center"/>
    </xf>
    <xf numFmtId="14" fontId="3" fillId="4" borderId="13" xfId="0" applyNumberFormat="1" applyFont="1" applyFill="1" applyBorder="1" applyAlignment="1" applyProtection="1">
      <alignment horizontal="center" vertical="center"/>
    </xf>
    <xf numFmtId="0" fontId="47" fillId="2" borderId="79" xfId="0" applyFont="1" applyFill="1" applyBorder="1" applyAlignment="1" applyProtection="1">
      <alignment horizontal="left" vertical="center"/>
      <protection hidden="1"/>
    </xf>
    <xf numFmtId="0" fontId="5" fillId="7" borderId="0" xfId="0" applyFont="1" applyFill="1" applyAlignment="1" applyProtection="1">
      <alignment horizontal="left" vertical="center"/>
      <protection hidden="1"/>
    </xf>
    <xf numFmtId="0" fontId="24" fillId="6" borderId="21" xfId="0" applyFont="1" applyFill="1" applyBorder="1" applyAlignment="1" applyProtection="1">
      <alignment horizontal="center" vertical="center"/>
      <protection hidden="1"/>
    </xf>
    <xf numFmtId="0" fontId="24" fillId="6" borderId="22" xfId="0" applyFont="1" applyFill="1" applyBorder="1" applyAlignment="1" applyProtection="1">
      <alignment horizontal="center" vertical="center"/>
      <protection hidden="1"/>
    </xf>
    <xf numFmtId="0" fontId="12" fillId="0" borderId="1" xfId="0" applyFont="1" applyBorder="1" applyAlignment="1" applyProtection="1">
      <alignment horizontal="center" vertical="center" wrapText="1"/>
      <protection hidden="1"/>
    </xf>
    <xf numFmtId="0" fontId="12" fillId="0" borderId="1" xfId="0" applyFont="1" applyBorder="1" applyAlignment="1" applyProtection="1">
      <alignment horizontal="left"/>
      <protection hidden="1"/>
    </xf>
    <xf numFmtId="0" fontId="25" fillId="0" borderId="33" xfId="0" applyFont="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5" xfId="0" applyFont="1" applyBorder="1" applyAlignment="1" applyProtection="1">
      <alignment horizontal="center" vertical="center" wrapText="1"/>
      <protection hidden="1"/>
    </xf>
    <xf numFmtId="0" fontId="25" fillId="0" borderId="36"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37" xfId="0" applyFont="1" applyBorder="1" applyAlignment="1" applyProtection="1">
      <alignment horizontal="center" vertical="center" wrapText="1"/>
      <protection hidden="1"/>
    </xf>
    <xf numFmtId="0" fontId="25" fillId="0" borderId="38" xfId="0" applyFont="1" applyBorder="1" applyAlignment="1" applyProtection="1">
      <alignment horizontal="center" vertical="center" wrapText="1"/>
      <protection hidden="1"/>
    </xf>
    <xf numFmtId="0" fontId="25" fillId="0" borderId="39" xfId="0" applyFont="1" applyBorder="1" applyAlignment="1" applyProtection="1">
      <alignment horizontal="center" vertical="center" wrapText="1"/>
      <protection hidden="1"/>
    </xf>
    <xf numFmtId="0" fontId="25" fillId="0" borderId="40" xfId="0" applyFont="1" applyBorder="1" applyAlignment="1" applyProtection="1">
      <alignment horizontal="center" vertical="center" wrapText="1"/>
      <protection hidden="1"/>
    </xf>
    <xf numFmtId="0" fontId="5" fillId="7" borderId="0" xfId="0" applyFont="1" applyFill="1" applyAlignment="1" applyProtection="1">
      <alignment horizontal="center" vertical="center"/>
      <protection hidden="1"/>
    </xf>
    <xf numFmtId="0" fontId="11" fillId="6" borderId="29" xfId="0" applyFont="1" applyFill="1" applyBorder="1" applyAlignment="1" applyProtection="1">
      <alignment horizontal="center" vertical="center" wrapText="1"/>
      <protection hidden="1"/>
    </xf>
    <xf numFmtId="0" fontId="11" fillId="6" borderId="30" xfId="0" applyFont="1" applyFill="1" applyBorder="1" applyAlignment="1" applyProtection="1">
      <alignment horizontal="center" vertical="center" wrapText="1"/>
      <protection hidden="1"/>
    </xf>
    <xf numFmtId="0" fontId="11" fillId="6" borderId="31" xfId="0" applyFont="1" applyFill="1" applyBorder="1" applyAlignment="1" applyProtection="1">
      <alignment horizontal="center" vertical="center" wrapText="1"/>
      <protection hidden="1"/>
    </xf>
    <xf numFmtId="0" fontId="0" fillId="0" borderId="51" xfId="0" applyBorder="1" applyAlignment="1">
      <alignment horizontal="center"/>
    </xf>
    <xf numFmtId="0" fontId="0" fillId="0" borderId="0" xfId="0" applyAlignment="1">
      <alignment horizontal="center"/>
    </xf>
  </cellXfs>
  <cellStyles count="12">
    <cellStyle name="CEMEUserInput" xfId="10" xr:uid="{BC2373DF-F5E1-43B6-88CC-6EDCCFBC720F}"/>
    <cellStyle name="Comma" xfId="7" builtinId="3"/>
    <cellStyle name="Currency" xfId="1" builtinId="4"/>
    <cellStyle name="Heading 1 2" xfId="4" xr:uid="{3BB703D7-211F-468A-BAA4-F731BBE49798}"/>
    <cellStyle name="Heading 2 2" xfId="3" xr:uid="{8FBC4F44-724C-48F3-ACC2-F319B06DF3C1}"/>
    <cellStyle name="Hyperlink" xfId="11" builtinId="8"/>
    <cellStyle name="Hyperlink 2" xfId="5" xr:uid="{C3CF1196-0500-4F08-A3E0-41C4829CA6F7}"/>
    <cellStyle name="Normal" xfId="0" builtinId="0"/>
    <cellStyle name="Normal 2" xfId="2" xr:uid="{739289E9-A472-4EF8-BBFB-6D02573E60BA}"/>
    <cellStyle name="Normal 2 2 6" xfId="9" xr:uid="{5BA3E8C8-E57C-4C63-B639-290F5243482F}"/>
    <cellStyle name="Normal 3" xfId="8" xr:uid="{50CBE5C8-AD60-47FC-9074-2B9D6BD5E6E7}"/>
    <cellStyle name="Percent" xfId="6" builtinId="5"/>
  </cellStyles>
  <dxfs count="115">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theme="4" tint="0.39997558519241921"/>
        </top>
      </border>
    </dxf>
    <dxf>
      <font>
        <b val="0"/>
        <i val="0"/>
        <strike val="0"/>
        <condense val="0"/>
        <extend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0"/>
        <name val="Arial"/>
        <family val="2"/>
        <scheme val="none"/>
      </font>
      <alignment horizontal="general" vertical="bottom" textRotation="0" wrapText="1" indent="0" justifyLastLine="0" shrinkToFit="0" readingOrder="0"/>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color theme="1"/>
        <name val="Arial"/>
        <family val="2"/>
        <scheme val="none"/>
      </font>
      <numFmt numFmtId="0" formatCode="General"/>
      <fill>
        <patternFill patternType="none">
          <bgColor auto="1"/>
        </patternFill>
      </fill>
      <alignment horizontal="center" vertical="center" textRotation="0" wrapText="0" indent="0" justifyLastLine="0" shrinkToFit="0" readingOrder="0"/>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4"/>
        <color theme="1"/>
        <name val="Arial"/>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theme="1"/>
        <name val="Arial"/>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family val="2"/>
        <scheme val="none"/>
      </font>
      <fill>
        <patternFill patternType="none">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4"/>
        <color theme="1"/>
        <name val="Arial"/>
        <family val="2"/>
        <scheme val="none"/>
      </font>
      <fill>
        <patternFill patternType="none">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4"/>
        <color theme="1"/>
        <name val="Arial"/>
        <family val="2"/>
        <scheme val="none"/>
      </font>
      <fill>
        <patternFill patternType="none">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theme="1"/>
        <name val="Arial"/>
        <family val="2"/>
        <scheme val="none"/>
      </font>
      <fill>
        <patternFill patternType="none">
          <bgColor auto="1"/>
        </patternFill>
      </fill>
      <alignment horizontal="center" vertical="center" textRotation="0" wrapText="0" indent="0" justifyLastLine="0" shrinkToFit="0" readingOrder="0"/>
    </dxf>
    <dxf>
      <font>
        <strike val="0"/>
        <outline val="0"/>
        <shadow val="0"/>
        <u val="none"/>
        <vertAlign val="baseline"/>
        <sz val="14"/>
        <color theme="1"/>
        <name val="Arial"/>
        <family val="2"/>
        <scheme val="none"/>
      </font>
      <fill>
        <patternFill>
          <bgColor theme="8"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66" formatCode="_(&quot;$&quot;* #,##0_);_(&quot;$&quot;* \(#,##0\);_(&quot;$&quot;* &quot;-&quot;??_);_(@_)"/>
    </dxf>
    <dxf>
      <numFmt numFmtId="167" formatCode="_(* #,##0_);_(* \(#,##0\);_(* &quot;-&quot;??_);_(@_)"/>
    </dxf>
    <dxf>
      <alignment wrapText="1"/>
    </dxf>
    <dxf>
      <alignment wrapText="1"/>
    </dxf>
    <dxf>
      <alignment wrapText="1"/>
    </dxf>
    <dxf>
      <alignment wrapText="1"/>
    </dxf>
    <dxf>
      <alignment wrapText="0"/>
    </dxf>
    <dxf>
      <numFmt numFmtId="166" formatCode="_(&quot;$&quot;* #,##0_);_(&quot;$&quot;* \(#,##0\);_(&quot;$&quot;* &quot;-&quot;??_);_(@_)"/>
    </dxf>
    <dxf>
      <numFmt numFmtId="167" formatCode="_(* #,##0_);_(* \(#,##0\);_(* &quot;-&quot;??_);_(@_)"/>
    </dxf>
    <dxf>
      <alignment wrapText="1"/>
    </dxf>
    <dxf>
      <alignment wrapText="1"/>
    </dxf>
    <dxf>
      <font>
        <b/>
        <strike val="0"/>
        <outline val="0"/>
        <shadow val="0"/>
        <u val="none"/>
        <vertAlign val="baseline"/>
        <sz val="12"/>
        <name val="Arial"/>
        <family val="2"/>
        <scheme val="none"/>
      </font>
      <numFmt numFmtId="164" formatCode="&quot;$&quot;#,##0.00"/>
      <fill>
        <patternFill patternType="solid">
          <fgColor indexed="64"/>
          <bgColor theme="6" tint="0.79998168889431442"/>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style="thin">
          <color rgb="FF10A3C8"/>
        </left>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numFmt numFmtId="165" formatCode="0.0"/>
      <fill>
        <patternFill patternType="none">
          <fgColor indexed="64"/>
          <bgColor auto="1"/>
        </patternFill>
      </fill>
      <alignment horizontal="left" vertical="center" textRotation="0" wrapText="1"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rgb="FF9ADBE8"/>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1" hidden="0"/>
    </dxf>
    <dxf>
      <font>
        <b val="0"/>
        <i val="0"/>
        <strike val="0"/>
        <condense val="0"/>
        <extend val="0"/>
        <outline val="0"/>
        <shadow val="0"/>
        <u val="none"/>
        <vertAlign val="baseline"/>
        <sz val="12"/>
        <color theme="1"/>
        <name val="Arial"/>
        <family val="2"/>
        <scheme val="none"/>
      </font>
      <numFmt numFmtId="166" formatCode="_(&quot;$&quot;* #,##0_);_(&quot;$&quot;* \(#,##0\);_(&quot;$&quot;* &quot;-&quot;??_);_(@_)"/>
      <fill>
        <patternFill patternType="solid">
          <fgColor indexed="64"/>
          <bgColor rgb="FF9ADBE8"/>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1" hidden="0"/>
    </dxf>
    <dxf>
      <font>
        <b val="0"/>
        <i val="0"/>
        <strike val="0"/>
        <condense val="0"/>
        <extend val="0"/>
        <outline val="0"/>
        <shadow val="0"/>
        <u val="none"/>
        <vertAlign val="baseline"/>
        <sz val="12"/>
        <color rgb="FFFF0000"/>
        <name val="Arial"/>
        <family val="2"/>
        <scheme val="none"/>
      </font>
      <numFmt numFmtId="166" formatCode="_(&quot;$&quot;* #,##0_);_(&quot;$&quot;* \(#,##0\);_(&quot;$&quot;* &quot;-&quot;??_);_(@_)"/>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1" hidden="0"/>
    </dxf>
    <dxf>
      <font>
        <b val="0"/>
        <i val="0"/>
        <strike val="0"/>
        <condense val="0"/>
        <extend val="0"/>
        <outline val="0"/>
        <shadow val="0"/>
        <u val="none"/>
        <vertAlign val="baseline"/>
        <sz val="12"/>
        <color theme="1"/>
        <name val="Arial"/>
        <family val="2"/>
        <scheme val="none"/>
      </font>
      <numFmt numFmtId="166" formatCode="_(&quot;$&quot;* #,##0_);_(&quot;$&quot;* \(#,##0\);_(&quot;$&quot;* &quot;-&quot;??_);_(@_)"/>
      <fill>
        <patternFill patternType="solid">
          <fgColor indexed="64"/>
          <bgColor theme="6" tint="0.59999389629810485"/>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1" hidden="0"/>
    </dxf>
    <dxf>
      <font>
        <b val="0"/>
        <i val="0"/>
        <strike val="0"/>
        <condense val="0"/>
        <extend val="0"/>
        <outline val="0"/>
        <shadow val="0"/>
        <u val="none"/>
        <vertAlign val="baseline"/>
        <sz val="12"/>
        <color theme="1"/>
        <name val="Arial"/>
        <family val="2"/>
        <scheme val="none"/>
      </font>
      <numFmt numFmtId="166" formatCode="_(&quot;$&quot;* #,##0_);_(&quot;$&quot;* \(#,##0\);_(&quot;$&quot;* &quot;-&quot;??_);_(@_)"/>
      <fill>
        <patternFill patternType="none">
          <fgColor indexed="64"/>
          <bgColor auto="1"/>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rgb="FFFF0000"/>
        <name val="Arial"/>
        <family val="2"/>
        <scheme val="none"/>
      </font>
      <numFmt numFmtId="3" formatCode="#,##0"/>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rgb="FFFF0000"/>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numFmt numFmtId="166" formatCode="_(&quot;$&quot;* #,##0_);_(&quot;$&quot;* \(#,##0\);_(&quot;$&quot;* &quot;-&quot;??_);_(@_)"/>
      <fill>
        <patternFill patternType="solid">
          <fgColor indexed="64"/>
          <bgColor rgb="FF9ADBE8"/>
        </patternFill>
      </fill>
      <alignment horizontal="left" vertical="center" textRotation="0" wrapText="1" indent="0" justifyLastLine="0" shrinkToFit="0" readingOrder="1"/>
      <border diagonalUp="0" diagonalDown="0" outline="0">
        <left style="thin">
          <color rgb="FF10A3C8"/>
        </left>
        <right style="thin">
          <color rgb="FF10A3C8"/>
        </right>
        <top style="thin">
          <color rgb="FF10A3C8"/>
        </top>
        <bottom style="thin">
          <color rgb="FF10A3C8"/>
        </bottom>
      </border>
      <protection locked="1"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1"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10A3C8"/>
        </left>
        <right style="thin">
          <color rgb="FF10A3C8"/>
        </right>
        <top style="thin">
          <color rgb="FF10A3C8"/>
        </top>
        <bottom style="thin">
          <color rgb="FF10A3C8"/>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1" indent="0" justifyLastLine="0" shrinkToFit="0" readingOrder="1"/>
      <border diagonalUp="0" diagonalDown="0" outline="0">
        <left style="thin">
          <color rgb="FF10A3C8"/>
        </left>
        <right style="thin">
          <color rgb="FF10A3C8"/>
        </right>
        <top style="thin">
          <color rgb="FF10A3C8"/>
        </top>
        <bottom style="thin">
          <color rgb="FF10A3C8"/>
        </bottom>
      </border>
      <protection locked="0" hidden="0"/>
    </dxf>
    <dxf>
      <font>
        <b/>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rgb="FF10A3C8"/>
        </right>
        <top style="thin">
          <color rgb="FF10A3C8"/>
        </top>
        <bottom style="thin">
          <color rgb="FF10A3C8"/>
        </bottom>
      </border>
      <protection locked="1" hidden="0"/>
    </dxf>
    <dxf>
      <border>
        <top style="thin">
          <color rgb="FF10A3C8"/>
        </top>
      </border>
    </dxf>
    <dxf>
      <border diagonalUp="0" diagonalDown="0">
        <left style="thin">
          <color rgb="FF10A3C8"/>
        </left>
        <right style="thin">
          <color rgb="FF10A3C8"/>
        </right>
        <top style="thin">
          <color rgb="FF10A3C8"/>
        </top>
        <bottom style="thin">
          <color rgb="FF10A3C8"/>
        </bottom>
      </border>
    </dxf>
    <dxf>
      <font>
        <b/>
        <strike val="0"/>
        <outline val="0"/>
        <shadow val="0"/>
        <u val="none"/>
        <vertAlign val="baseline"/>
        <sz val="12"/>
        <name val="Arial"/>
        <family val="2"/>
        <scheme val="none"/>
      </font>
      <numFmt numFmtId="164" formatCode="&quot;$&quot;#,##0.00"/>
      <fill>
        <patternFill patternType="solid">
          <fgColor indexed="64"/>
          <bgColor theme="6" tint="0.79998168889431442"/>
        </patternFill>
      </fill>
      <alignment horizontal="center" vertical="center" textRotation="0" wrapText="1" indent="0" justifyLastLine="0" shrinkToFit="0" readingOrder="0"/>
      <protection locked="1" hidden="0"/>
    </dxf>
    <dxf>
      <border>
        <bottom style="thin">
          <color theme="0"/>
        </bottom>
      </border>
    </dxf>
    <dxf>
      <font>
        <b/>
        <i val="0"/>
        <strike val="0"/>
        <condense val="0"/>
        <extend val="0"/>
        <outline val="0"/>
        <shadow val="0"/>
        <u val="none"/>
        <vertAlign val="baseline"/>
        <sz val="13"/>
        <color theme="0"/>
        <name val="Arial"/>
        <family val="2"/>
        <scheme val="none"/>
      </font>
      <numFmt numFmtId="164" formatCode="&quot;$&quot;#,##0.00"/>
      <fill>
        <patternFill patternType="solid">
          <fgColor indexed="64"/>
          <bgColor rgb="FF10A3C8"/>
        </patternFill>
      </fill>
      <alignment horizontal="center" vertical="center" textRotation="0" wrapText="1" indent="0" justifyLastLine="0" shrinkToFit="0" readingOrder="0"/>
      <border diagonalUp="0" diagonalDown="0" outline="0">
        <left style="thin">
          <color theme="0"/>
        </left>
        <right style="thin">
          <color theme="0"/>
        </right>
        <top/>
        <bottom/>
      </border>
      <protection locked="1" hidden="1"/>
    </dxf>
    <dxf>
      <font>
        <b/>
        <i val="0"/>
        <color theme="0" tint="-0.14996795556505021"/>
      </font>
      <fill>
        <patternFill>
          <bgColor theme="0" tint="-0.14996795556505021"/>
        </patternFill>
      </fill>
    </dxf>
    <dxf>
      <fill>
        <patternFill>
          <bgColor theme="0"/>
        </patternFill>
      </fill>
    </dxf>
    <dxf>
      <fill>
        <patternFill>
          <bgColor theme="0"/>
        </patternFill>
      </fill>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ont>
        <color rgb="FFC00000"/>
      </font>
    </dxf>
    <dxf>
      <fill>
        <patternFill>
          <bgColor theme="0"/>
        </patternFill>
      </fill>
    </dxf>
    <dxf>
      <fill>
        <patternFill>
          <bgColor theme="0"/>
        </patternFill>
      </fill>
    </dxf>
    <dxf>
      <fill>
        <patternFill>
          <bgColor theme="0"/>
        </patternFill>
      </fill>
    </dxf>
    <dxf>
      <font>
        <color rgb="FFC00000"/>
      </font>
    </dxf>
    <dxf>
      <font>
        <color rgb="FFC00000"/>
      </font>
    </dxf>
    <dxf>
      <fill>
        <patternFill>
          <bgColor rgb="FFFFFF00"/>
        </patternFill>
      </fill>
    </dxf>
    <dxf>
      <fill>
        <patternFill>
          <bgColor rgb="FFFFFF00"/>
        </patternFill>
      </fill>
    </dxf>
    <dxf>
      <fill>
        <patternFill>
          <bgColor theme="0"/>
        </patternFill>
      </fill>
    </dxf>
    <dxf>
      <fill>
        <patternFill>
          <bgColor theme="0"/>
        </patternFill>
      </fill>
    </dxf>
    <dxf>
      <font>
        <color theme="0"/>
      </font>
      <fill>
        <patternFill>
          <bgColor theme="0"/>
        </patternFill>
      </fill>
      <border>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00000"/>
      </font>
    </dxf>
    <dxf>
      <fill>
        <patternFill>
          <bgColor theme="0"/>
        </patternFill>
      </fill>
    </dxf>
    <dxf>
      <font>
        <color rgb="FFC00000"/>
      </font>
    </dxf>
    <dxf>
      <fill>
        <patternFill>
          <bgColor theme="0"/>
        </patternFill>
      </fill>
    </dxf>
    <dxf>
      <font>
        <color theme="0"/>
      </font>
      <fill>
        <patternFill>
          <bgColor theme="0"/>
        </patternFill>
      </fill>
      <border>
        <vertical/>
        <horizontal/>
      </border>
    </dxf>
    <dxf>
      <font>
        <color rgb="FFC00000"/>
      </font>
    </dxf>
    <dxf>
      <font>
        <color rgb="FFC00000"/>
      </font>
    </dxf>
    <dxf>
      <font>
        <color rgb="FFC00000"/>
      </font>
    </dxf>
    <dxf>
      <font>
        <color rgb="FFC00000"/>
      </font>
    </dxf>
    <dxf>
      <font>
        <color rgb="FFC00000"/>
      </font>
    </dxf>
    <dxf>
      <font>
        <color rgb="FFC00000"/>
      </font>
    </dxf>
    <dxf>
      <fill>
        <patternFill>
          <bgColor theme="0"/>
        </patternFill>
      </fill>
    </dxf>
    <dxf>
      <font>
        <color rgb="FFC00000"/>
      </font>
    </dxf>
    <dxf>
      <fill>
        <patternFill>
          <bgColor theme="4" tint="0.59996337778862885"/>
        </patternFill>
      </fill>
    </dxf>
    <dxf>
      <fill>
        <patternFill>
          <bgColor theme="4" tint="0.79998168889431442"/>
        </patternFill>
      </fill>
      <border>
        <top style="thin">
          <color theme="4" tint="0.39994506668294322"/>
        </top>
        <bottom style="thin">
          <color theme="4" tint="0.39994506668294322"/>
        </bottom>
        <horizontal style="thin">
          <color theme="4" tint="0.39994506668294322"/>
        </horizontal>
      </border>
    </dxf>
    <dxf>
      <fill>
        <patternFill>
          <bgColor theme="1"/>
        </patternFill>
      </fill>
    </dxf>
    <dxf>
      <border>
        <left style="thin">
          <color theme="4" tint="0.39994506668294322"/>
        </left>
        <right style="thin">
          <color theme="4" tint="0.39994506668294322"/>
        </right>
        <top style="thin">
          <color theme="4" tint="0.39994506668294322"/>
        </top>
        <bottom style="thin">
          <color theme="4" tint="0.39994506668294322"/>
        </bottom>
      </border>
    </dxf>
  </dxfs>
  <tableStyles count="1" defaultTableStyle="TableStyleMedium2" defaultPivotStyle="PivotStyleLight16">
    <tableStyle name="Opp_Reg" pivot="0" count="4" xr9:uid="{00000000-0011-0000-FFFF-FFFF00000000}">
      <tableStyleElement type="wholeTable" dxfId="114"/>
      <tableStyleElement type="headerRow" dxfId="113"/>
      <tableStyleElement type="secondRowStripe" dxfId="112"/>
      <tableStyleElement type="firstColumnStripe" dxfId="111"/>
    </tableStyle>
  </tableStyles>
  <colors>
    <mruColors>
      <color rgb="FF10A3C8"/>
      <color rgb="FF9ADBE8"/>
      <color rgb="FF9AD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sharedStrings" Target="sharedString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2.xml"/><Relationship Id="rId27" Type="http://schemas.openxmlformats.org/officeDocument/2006/relationships/customXml" Target="../customXml/item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Energy Consumption</a:t>
            </a:r>
            <a:r>
              <a:rPr lang="en-US" baseline="0"/>
              <a:t> by End Use Utilized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Workbook_v.1.2.xlsx]PivotTables!PivotTable11</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Energy and Demand Savings by Initiative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noFill/>
            <a:round/>
          </a:ln>
          <a:effectLst/>
        </c:spPr>
        <c:marker>
          <c:symbol val="circle"/>
          <c:size val="8"/>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PivotTables!$V$1</c:f>
              <c:strCache>
                <c:ptCount val="1"/>
                <c:pt idx="0">
                  <c:v>Electricity Savings Estimate (kWh/y)</c:v>
                </c:pt>
              </c:strCache>
            </c:strRef>
          </c:tx>
          <c:spPr>
            <a:solidFill>
              <a:schemeClr val="accent1"/>
            </a:solidFill>
            <a:ln>
              <a:noFill/>
            </a:ln>
            <a:effectLst/>
          </c:spPr>
          <c:invertIfNegative val="0"/>
          <c:cat>
            <c:strRef>
              <c:f>PivotTables!$V$2</c:f>
              <c:strCache>
                <c:ptCount val="1"/>
                <c:pt idx="0">
                  <c:v>Total</c:v>
                </c:pt>
              </c:strCache>
            </c:strRef>
          </c:cat>
          <c:val>
            <c:numRef>
              <c:f>PivotTables!$V$2</c:f>
              <c:numCache>
                <c:formatCode>General</c:formatCode>
                <c:ptCount val="1"/>
                <c:pt idx="0">
                  <c:v>10000</c:v>
                </c:pt>
              </c:numCache>
            </c:numRef>
          </c:val>
          <c:extLst>
            <c:ext xmlns:c16="http://schemas.microsoft.com/office/drawing/2014/chart" uri="{C3380CC4-5D6E-409C-BE32-E72D297353CC}">
              <c16:uniqueId val="{00000000-E5B3-4E0E-984C-6D150A8FD071}"/>
            </c:ext>
          </c:extLst>
        </c:ser>
        <c:dLbls>
          <c:showLegendKey val="0"/>
          <c:showVal val="0"/>
          <c:showCatName val="0"/>
          <c:showSerName val="0"/>
          <c:showPercent val="0"/>
          <c:showBubbleSize val="0"/>
        </c:dLbls>
        <c:gapWidth val="219"/>
        <c:overlap val="-27"/>
        <c:axId val="728611920"/>
        <c:axId val="728612904"/>
      </c:barChart>
      <c:lineChart>
        <c:grouping val="standard"/>
        <c:varyColors val="0"/>
        <c:ser>
          <c:idx val="1"/>
          <c:order val="1"/>
          <c:tx>
            <c:strRef>
              <c:f>PivotTables!$W$1</c:f>
              <c:strCache>
                <c:ptCount val="1"/>
                <c:pt idx="0">
                  <c:v>Customer Electricity Demand Savings (kW/mo)</c:v>
                </c:pt>
              </c:strCache>
            </c:strRef>
          </c:tx>
          <c:spPr>
            <a:ln w="28575" cap="rnd">
              <a:noFill/>
              <a:round/>
            </a:ln>
            <a:effectLst/>
          </c:spPr>
          <c:marker>
            <c:symbol val="circle"/>
            <c:size val="8"/>
            <c:spPr>
              <a:solidFill>
                <a:schemeClr val="accent2"/>
              </a:solidFill>
              <a:ln w="9525">
                <a:solidFill>
                  <a:schemeClr val="accent2"/>
                </a:solidFill>
              </a:ln>
              <a:effectLst/>
            </c:spPr>
          </c:marker>
          <c:cat>
            <c:strRef>
              <c:f>PivotTables!$V$2</c:f>
              <c:strCache>
                <c:ptCount val="1"/>
                <c:pt idx="0">
                  <c:v>Total</c:v>
                </c:pt>
              </c:strCache>
            </c:strRef>
          </c:cat>
          <c:val>
            <c:numRef>
              <c:f>PivotTables!$W$2</c:f>
              <c:numCache>
                <c:formatCode>General</c:formatCode>
                <c:ptCount val="1"/>
                <c:pt idx="0">
                  <c:v>10</c:v>
                </c:pt>
              </c:numCache>
            </c:numRef>
          </c:val>
          <c:smooth val="0"/>
          <c:extLst>
            <c:ext xmlns:c16="http://schemas.microsoft.com/office/drawing/2014/chart" uri="{C3380CC4-5D6E-409C-BE32-E72D297353CC}">
              <c16:uniqueId val="{00000001-E5B3-4E0E-984C-6D150A8FD071}"/>
            </c:ext>
          </c:extLst>
        </c:ser>
        <c:dLbls>
          <c:showLegendKey val="0"/>
          <c:showVal val="0"/>
          <c:showCatName val="0"/>
          <c:showSerName val="0"/>
          <c:showPercent val="0"/>
          <c:showBubbleSize val="0"/>
        </c:dLbls>
        <c:marker val="1"/>
        <c:smooth val="0"/>
        <c:axId val="728619792"/>
        <c:axId val="728621760"/>
      </c:lineChart>
      <c:catAx>
        <c:axId val="72861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612904"/>
        <c:crosses val="autoZero"/>
        <c:auto val="1"/>
        <c:lblAlgn val="ctr"/>
        <c:lblOffset val="100"/>
        <c:noMultiLvlLbl val="0"/>
      </c:catAx>
      <c:valAx>
        <c:axId val="728612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kWh/yr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n-CA" sz="900" b="0" i="0" u="none" strike="noStrike" kern="1200" baseline="0">
                <a:solidFill>
                  <a:schemeClr val="tx1">
                    <a:lumMod val="65000"/>
                    <a:lumOff val="35000"/>
                  </a:schemeClr>
                </a:solidFill>
                <a:latin typeface="+mn-lt"/>
                <a:ea typeface="+mn-ea"/>
                <a:cs typeface="+mn-cs"/>
              </a:defRPr>
            </a:pPr>
            <a:endParaRPr lang="en-US"/>
          </a:p>
        </c:txPr>
        <c:crossAx val="728611920"/>
        <c:crosses val="autoZero"/>
        <c:crossBetween val="between"/>
      </c:valAx>
      <c:valAx>
        <c:axId val="7286217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619792"/>
        <c:crosses val="max"/>
        <c:crossBetween val="between"/>
      </c:valAx>
      <c:catAx>
        <c:axId val="728619792"/>
        <c:scaling>
          <c:orientation val="minMax"/>
        </c:scaling>
        <c:delete val="1"/>
        <c:axPos val="b"/>
        <c:numFmt formatCode="General" sourceLinked="1"/>
        <c:majorTickMark val="out"/>
        <c:minorTickMark val="none"/>
        <c:tickLblPos val="nextTo"/>
        <c:crossAx val="728621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Workbook_v.1.2.xlsx]PivotTables!PivotTable12</c:name>
    <c:fmtId val="1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Energy</a:t>
            </a:r>
            <a:r>
              <a:rPr lang="en-CA" baseline="0"/>
              <a:t> and Demand Savings by Category</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noFill/>
            <a:round/>
          </a:ln>
          <a:effectLst/>
        </c:spPr>
        <c:marker>
          <c:symbol val="circle"/>
          <c:size val="8"/>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PivotTables!$AG$1</c:f>
              <c:strCache>
                <c:ptCount val="1"/>
                <c:pt idx="0">
                  <c:v>Electricity Savings Estimate (kWh/y)</c:v>
                </c:pt>
              </c:strCache>
            </c:strRef>
          </c:tx>
          <c:spPr>
            <a:solidFill>
              <a:schemeClr val="accent1"/>
            </a:solidFill>
            <a:ln>
              <a:noFill/>
            </a:ln>
            <a:effectLst/>
          </c:spPr>
          <c:invertIfNegative val="0"/>
          <c:cat>
            <c:strRef>
              <c:f>PivotTables!$AF$2</c:f>
              <c:strCache>
                <c:ptCount val="1"/>
                <c:pt idx="0">
                  <c:v>Grand Total</c:v>
                </c:pt>
              </c:strCache>
            </c:strRef>
          </c:cat>
          <c:val>
            <c:numRef>
              <c:f>PivotTables!$AG$2</c:f>
              <c:numCache>
                <c:formatCode>General</c:formatCode>
                <c:ptCount val="1"/>
              </c:numCache>
            </c:numRef>
          </c:val>
          <c:extLst>
            <c:ext xmlns:c16="http://schemas.microsoft.com/office/drawing/2014/chart" uri="{C3380CC4-5D6E-409C-BE32-E72D297353CC}">
              <c16:uniqueId val="{00000000-B6FF-4F28-83BD-4B4969DFA87F}"/>
            </c:ext>
          </c:extLst>
        </c:ser>
        <c:dLbls>
          <c:showLegendKey val="0"/>
          <c:showVal val="0"/>
          <c:showCatName val="0"/>
          <c:showSerName val="0"/>
          <c:showPercent val="0"/>
          <c:showBubbleSize val="0"/>
        </c:dLbls>
        <c:gapWidth val="219"/>
        <c:overlap val="-27"/>
        <c:axId val="728568296"/>
        <c:axId val="728569280"/>
      </c:barChart>
      <c:lineChart>
        <c:grouping val="standard"/>
        <c:varyColors val="0"/>
        <c:ser>
          <c:idx val="1"/>
          <c:order val="1"/>
          <c:tx>
            <c:strRef>
              <c:f>PivotTables!$AH$1</c:f>
              <c:strCache>
                <c:ptCount val="1"/>
                <c:pt idx="0">
                  <c:v>Customer Electricity Demand Savings (kW/mo)</c:v>
                </c:pt>
              </c:strCache>
            </c:strRef>
          </c:tx>
          <c:spPr>
            <a:ln w="28575" cap="rnd">
              <a:noFill/>
              <a:round/>
            </a:ln>
            <a:effectLst/>
          </c:spPr>
          <c:marker>
            <c:symbol val="circle"/>
            <c:size val="8"/>
            <c:spPr>
              <a:solidFill>
                <a:schemeClr val="accent2"/>
              </a:solidFill>
              <a:ln w="9525">
                <a:solidFill>
                  <a:schemeClr val="accent2"/>
                </a:solidFill>
              </a:ln>
              <a:effectLst/>
            </c:spPr>
          </c:marker>
          <c:cat>
            <c:strRef>
              <c:f>PivotTables!$AF$2</c:f>
              <c:strCache>
                <c:ptCount val="1"/>
                <c:pt idx="0">
                  <c:v>Grand Total</c:v>
                </c:pt>
              </c:strCache>
            </c:strRef>
          </c:cat>
          <c:val>
            <c:numRef>
              <c:f>PivotTables!$AH$2</c:f>
              <c:numCache>
                <c:formatCode>General</c:formatCode>
                <c:ptCount val="1"/>
              </c:numCache>
            </c:numRef>
          </c:val>
          <c:smooth val="0"/>
          <c:extLst>
            <c:ext xmlns:c16="http://schemas.microsoft.com/office/drawing/2014/chart" uri="{C3380CC4-5D6E-409C-BE32-E72D297353CC}">
              <c16:uniqueId val="{00000001-B6FF-4F28-83BD-4B4969DFA87F}"/>
            </c:ext>
          </c:extLst>
        </c:ser>
        <c:dLbls>
          <c:showLegendKey val="0"/>
          <c:showVal val="0"/>
          <c:showCatName val="0"/>
          <c:showSerName val="0"/>
          <c:showPercent val="0"/>
          <c:showBubbleSize val="0"/>
        </c:dLbls>
        <c:marker val="1"/>
        <c:smooth val="0"/>
        <c:axId val="728573216"/>
        <c:axId val="728572888"/>
      </c:lineChart>
      <c:catAx>
        <c:axId val="72856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569280"/>
        <c:crosses val="autoZero"/>
        <c:auto val="1"/>
        <c:lblAlgn val="ctr"/>
        <c:lblOffset val="100"/>
        <c:noMultiLvlLbl val="0"/>
      </c:catAx>
      <c:valAx>
        <c:axId val="728569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kWh/yr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568296"/>
        <c:crosses val="autoZero"/>
        <c:crossBetween val="between"/>
      </c:valAx>
      <c:valAx>
        <c:axId val="7285728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573216"/>
        <c:crosses val="max"/>
        <c:crossBetween val="between"/>
      </c:valAx>
      <c:catAx>
        <c:axId val="728573216"/>
        <c:scaling>
          <c:orientation val="minMax"/>
        </c:scaling>
        <c:delete val="1"/>
        <c:axPos val="b"/>
        <c:numFmt formatCode="General" sourceLinked="1"/>
        <c:majorTickMark val="out"/>
        <c:minorTickMark val="none"/>
        <c:tickLblPos val="nextTo"/>
        <c:crossAx val="728572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v>Electricity Use</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E1F2-408B-9E66-626B7E1441D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4-E1F2-408B-9E66-626B7E1441D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45F-4BD9-BF4B-923D6DE0C4F0}"/>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2-E1F2-408B-9E66-626B7E1441D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E45F-4BD9-BF4B-923D6DE0C4F0}"/>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E45F-4BD9-BF4B-923D6DE0C4F0}"/>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45F-4BD9-BF4B-923D6DE0C4F0}"/>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E45F-4BD9-BF4B-923D6DE0C4F0}"/>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E45F-4BD9-BF4B-923D6DE0C4F0}"/>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E45F-4BD9-BF4B-923D6DE0C4F0}"/>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E45F-4BD9-BF4B-923D6DE0C4F0}"/>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E45F-4BD9-BF4B-923D6DE0C4F0}"/>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E45F-4BD9-BF4B-923D6DE0C4F0}"/>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E45F-4BD9-BF4B-923D6DE0C4F0}"/>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E45F-4BD9-BF4B-923D6DE0C4F0}"/>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6793-4F33-9964-423B2C941859}"/>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6793-4F33-9964-423B2C941859}"/>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6793-4F33-9964-423B2C941859}"/>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6793-4F33-9964-423B2C941859}"/>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6793-4F33-9964-423B2C941859}"/>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6793-4F33-9964-423B2C941859}"/>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6793-4F33-9964-423B2C941859}"/>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6793-4F33-9964-423B2C941859}"/>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6793-4F33-9964-423B2C941859}"/>
              </c:ext>
            </c:extLst>
          </c:dPt>
          <c:dLbls>
            <c:dLbl>
              <c:idx val="3"/>
              <c:layout>
                <c:manualLayout>
                  <c:x val="0.23966694086809054"/>
                  <c:y val="-0.199652690811334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F2-408B-9E66-626B7E1441D6}"/>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0"/>
            <c:showBubbleSize val="0"/>
            <c:showLeaderLines val="0"/>
            <c:extLst>
              <c:ext xmlns:c15="http://schemas.microsoft.com/office/drawing/2012/chart" uri="{CE6537A1-D6FC-4f65-9D91-7224C49458BB}"/>
            </c:extLst>
          </c:dLbls>
          <c:cat>
            <c:strRef>
              <c:f>'Basic Info'!$C$61:$C$67</c:f>
              <c:strCache>
                <c:ptCount val="7"/>
                <c:pt idx="0">
                  <c:v>Domestic Hot Water</c:v>
                </c:pt>
                <c:pt idx="1">
                  <c:v>Suite Heating</c:v>
                </c:pt>
                <c:pt idx="2">
                  <c:v>Ventilation Heating</c:v>
                </c:pt>
                <c:pt idx="3">
                  <c:v>Common Area Heating</c:v>
                </c:pt>
                <c:pt idx="4">
                  <c:v>Suite Cooling</c:v>
                </c:pt>
                <c:pt idx="5">
                  <c:v>Common Area Cooling</c:v>
                </c:pt>
                <c:pt idx="6">
                  <c:v>Lighting, Plug Loads, Misc. Equipment and Others</c:v>
                </c:pt>
              </c:strCache>
            </c:strRef>
          </c:cat>
          <c:val>
            <c:numRef>
              <c:f>'Basic Info'!$K$61:$K$67</c:f>
              <c:numCache>
                <c:formatCode>_(* #,##0_);_(* \(#,##0\);_(* "-"??_);_(@_)</c:formatCode>
                <c:ptCount val="7"/>
              </c:numCache>
            </c:numRef>
          </c:val>
          <c:extLst>
            <c:ext xmlns:c16="http://schemas.microsoft.com/office/drawing/2014/chart" uri="{C3380CC4-5D6E-409C-BE32-E72D297353CC}">
              <c16:uniqueId val="{00000000-E1F2-408B-9E66-626B7E1441D6}"/>
            </c:ext>
          </c:extLst>
        </c:ser>
        <c:dLbls>
          <c:showLegendKey val="0"/>
          <c:showVal val="0"/>
          <c:showCatName val="0"/>
          <c:showSerName val="0"/>
          <c:showPercent val="0"/>
          <c:showBubbleSize val="0"/>
          <c:showLeaderLines val="0"/>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Fuel Use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v>Fuel Use</c:v>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44FE-452E-975E-E1582747B7D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1-CEB0-4C77-92FC-C54213B844CE}"/>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4-CEB0-4C77-92FC-C54213B844CE}"/>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2-CEB0-4C77-92FC-C54213B844CE}"/>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44FE-452E-975E-E1582747B7D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44FE-452E-975E-E1582747B7D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44FE-452E-975E-E1582747B7DA}"/>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44FE-452E-975E-E1582747B7DA}"/>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44FE-452E-975E-E1582747B7D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44FE-452E-975E-E1582747B7DA}"/>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44FE-452E-975E-E1582747B7DA}"/>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44FE-452E-975E-E1582747B7DA}"/>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6-CEB0-4C77-92FC-C54213B844CE}"/>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CEB0-4C77-92FC-C54213B844CE}"/>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CEB0-4C77-92FC-C54213B844CE}"/>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64D0-4989-A2E2-E6A75280B968}"/>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64D0-4989-A2E2-E6A75280B968}"/>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64D0-4989-A2E2-E6A75280B968}"/>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64D0-4989-A2E2-E6A75280B968}"/>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64D0-4989-A2E2-E6A75280B968}"/>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64D0-4989-A2E2-E6A75280B968}"/>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64D0-4989-A2E2-E6A75280B968}"/>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64D0-4989-A2E2-E6A75280B968}"/>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64D0-4989-A2E2-E6A75280B968}"/>
              </c:ext>
            </c:extLst>
          </c:dPt>
          <c:dLbls>
            <c:dLbl>
              <c:idx val="1"/>
              <c:layout>
                <c:manualLayout>
                  <c:x val="-0.16675531565682453"/>
                  <c:y val="0.2526660136856020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1-CEB0-4C77-92FC-C54213B844CE}"/>
                </c:ext>
              </c:extLst>
            </c:dLbl>
            <c:dLbl>
              <c:idx val="2"/>
              <c:layout>
                <c:manualLayout>
                  <c:x val="-3.5106382243542032E-2"/>
                  <c:y val="2.255964314122971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994134654168"/>
                      <c:h val="0.213856627668989"/>
                    </c:manualLayout>
                  </c15:layout>
                </c:ext>
                <c:ext xmlns:c16="http://schemas.microsoft.com/office/drawing/2014/chart" uri="{C3380CC4-5D6E-409C-BE32-E72D297353CC}">
                  <c16:uniqueId val="{00000024-CEB0-4C77-92FC-C54213B844CE}"/>
                </c:ext>
              </c:extLst>
            </c:dLbl>
            <c:dLbl>
              <c:idx val="3"/>
              <c:layout>
                <c:manualLayout>
                  <c:x val="0.26914893053382194"/>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2-CEB0-4C77-92FC-C54213B844CE}"/>
                </c:ext>
              </c:extLst>
            </c:dLbl>
            <c:dLbl>
              <c:idx val="12"/>
              <c:delete val="1"/>
              <c:extLst>
                <c:ext xmlns:c15="http://schemas.microsoft.com/office/drawing/2012/chart" uri="{CE6537A1-D6FC-4f65-9D91-7224C49458BB}"/>
                <c:ext xmlns:c16="http://schemas.microsoft.com/office/drawing/2014/chart" uri="{C3380CC4-5D6E-409C-BE32-E72D297353CC}">
                  <c16:uniqueId val="{00000026-CEB0-4C77-92FC-C54213B844CE}"/>
                </c:ext>
              </c:extLst>
            </c:dLbl>
            <c:dLbl>
              <c:idx val="13"/>
              <c:delete val="1"/>
              <c:extLst>
                <c:ext xmlns:c15="http://schemas.microsoft.com/office/drawing/2012/chart" uri="{CE6537A1-D6FC-4f65-9D91-7224C49458BB}"/>
                <c:ext xmlns:c16="http://schemas.microsoft.com/office/drawing/2014/chart" uri="{C3380CC4-5D6E-409C-BE32-E72D297353CC}">
                  <c16:uniqueId val="{00000025-CEB0-4C77-92FC-C54213B844CE}"/>
                </c:ext>
              </c:extLst>
            </c:dLbl>
            <c:dLbl>
              <c:idx val="14"/>
              <c:layout>
                <c:manualLayout>
                  <c:x val="0.39202126838621892"/>
                  <c:y val="0.1308448999443296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3-CEB0-4C77-92FC-C54213B844CE}"/>
                </c:ext>
              </c:extLst>
            </c:dLbl>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'Basic Info'!$C$61:$C$67</c:f>
              <c:strCache>
                <c:ptCount val="7"/>
                <c:pt idx="0">
                  <c:v>Domestic Hot Water</c:v>
                </c:pt>
                <c:pt idx="1">
                  <c:v>Suite Heating</c:v>
                </c:pt>
                <c:pt idx="2">
                  <c:v>Ventilation Heating</c:v>
                </c:pt>
                <c:pt idx="3">
                  <c:v>Common Area Heating</c:v>
                </c:pt>
                <c:pt idx="4">
                  <c:v>Suite Cooling</c:v>
                </c:pt>
                <c:pt idx="5">
                  <c:v>Common Area Cooling</c:v>
                </c:pt>
                <c:pt idx="6">
                  <c:v>Lighting, Plug Loads, Misc. Equipment and Others</c:v>
                </c:pt>
              </c:strCache>
            </c:strRef>
          </c:cat>
          <c:val>
            <c:numRef>
              <c:f>'Basic Info'!$L$61:$L$67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20-CEB0-4C77-92FC-C54213B844CE}"/>
            </c:ext>
          </c:extLst>
        </c:ser>
        <c:dLbls>
          <c:showLegendKey val="0"/>
          <c:showVal val="0"/>
          <c:showCatName val="0"/>
          <c:showSerName val="0"/>
          <c:showPercent val="0"/>
          <c:showBubbleSize val="0"/>
          <c:showLeaderLines val="0"/>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Workbook_v.1.2.xlsx]PivotTables!PivotTable3</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Peak Demand by</a:t>
            </a:r>
            <a:r>
              <a:rPr lang="en-US" baseline="0"/>
              <a:t> End Use Utilized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Workbook_v.1.2.xlsx]PivotTables!PivotTable4</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Energy Savings by End Use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PivotTables!$H$1</c:f>
              <c:strCache>
                <c:ptCount val="1"/>
                <c:pt idx="0">
                  <c:v>Sum of Customer Electricity Demand Savings
(kW/month)</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6DA1-43AC-AE98-4775225AAF2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6DA1-43AC-AE98-4775225AAF2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6DA1-43AC-AE98-4775225AAF2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6DA1-43AC-AE98-4775225AAF2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6DA1-43AC-AE98-4775225AAF2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6DA1-43AC-AE98-4775225AAF2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DA1-43AC-AE98-4775225AAF2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DA1-43AC-AE98-4775225AAF26}"/>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6DA1-43AC-AE98-4775225AAF26}"/>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6DA1-43AC-AE98-4775225AAF26}"/>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6DA1-43AC-AE98-4775225AAF26}"/>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6DA1-43AC-AE98-4775225AAF26}"/>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6DA1-43AC-AE98-4775225AAF26}"/>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6DA1-43AC-AE98-4775225AAF26}"/>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6DA1-43AC-AE98-4775225AAF26}"/>
              </c:ext>
            </c:extLst>
          </c:dPt>
          <c:cat>
            <c:strRef>
              <c:f>PivotTables!$G$2:$G$4</c:f>
              <c:strCache>
                <c:ptCount val="2"/>
                <c:pt idx="0">
                  <c:v>(blank)</c:v>
                </c:pt>
                <c:pt idx="1">
                  <c:v>Compressed Air</c:v>
                </c:pt>
              </c:strCache>
            </c:strRef>
          </c:cat>
          <c:val>
            <c:numRef>
              <c:f>PivotTables!$H$2:$H$4</c:f>
              <c:numCache>
                <c:formatCode>General</c:formatCode>
                <c:ptCount val="2"/>
                <c:pt idx="1">
                  <c:v>10</c:v>
                </c:pt>
              </c:numCache>
            </c:numRef>
          </c:val>
          <c:extLst>
            <c:ext xmlns:c16="http://schemas.microsoft.com/office/drawing/2014/chart" uri="{C3380CC4-5D6E-409C-BE32-E72D297353CC}">
              <c16:uniqueId val="{0000001E-6DA1-43AC-AE98-4775225AAF26}"/>
            </c:ext>
          </c:extLst>
        </c:ser>
        <c:ser>
          <c:idx val="1"/>
          <c:order val="1"/>
          <c:tx>
            <c:strRef>
              <c:f>PivotTables!$I$1</c:f>
              <c:strCache>
                <c:ptCount val="1"/>
                <c:pt idx="0">
                  <c:v>Sum of Electricity Savings Estimate
(kWh/y)</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F-BC96-41CF-AE02-5F6C6CCD9FC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1-BC96-41CF-AE02-5F6C6CCD9FC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3-BC96-41CF-AE02-5F6C6CCD9F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PivotTables!$G$2:$G$4</c:f>
              <c:strCache>
                <c:ptCount val="2"/>
                <c:pt idx="0">
                  <c:v>(blank)</c:v>
                </c:pt>
                <c:pt idx="1">
                  <c:v>Compressed Air</c:v>
                </c:pt>
              </c:strCache>
            </c:strRef>
          </c:cat>
          <c:val>
            <c:numRef>
              <c:f>PivotTables!$I$2:$I$4</c:f>
              <c:numCache>
                <c:formatCode>General</c:formatCode>
                <c:ptCount val="2"/>
                <c:pt idx="1">
                  <c:v>10000</c:v>
                </c:pt>
              </c:numCache>
            </c:numRef>
          </c:val>
          <c:extLst>
            <c:ext xmlns:c16="http://schemas.microsoft.com/office/drawing/2014/chart" uri="{C3380CC4-5D6E-409C-BE32-E72D297353CC}">
              <c16:uniqueId val="{0000001E-E641-43BB-B57F-58D01565AC5F}"/>
            </c:ext>
          </c:extLst>
        </c:ser>
        <c:ser>
          <c:idx val="2"/>
          <c:order val="2"/>
          <c:tx>
            <c:strRef>
              <c:f>PivotTables!$J$1</c:f>
              <c:strCache>
                <c:ptCount val="1"/>
                <c:pt idx="0">
                  <c:v>Sum of Fuel Savings Estimate
(GJ/y)</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5-BC96-41CF-AE02-5F6C6CCD9FC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7-BC96-41CF-AE02-5F6C6CCD9FC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9-BC96-41CF-AE02-5F6C6CCD9FC5}"/>
              </c:ext>
            </c:extLst>
          </c:dPt>
          <c:cat>
            <c:strRef>
              <c:f>PivotTables!$G$2:$G$4</c:f>
              <c:strCache>
                <c:ptCount val="2"/>
                <c:pt idx="0">
                  <c:v>(blank)</c:v>
                </c:pt>
                <c:pt idx="1">
                  <c:v>Compressed Air</c:v>
                </c:pt>
              </c:strCache>
            </c:strRef>
          </c:cat>
          <c:val>
            <c:numRef>
              <c:f>PivotTables!$J$2:$J$4</c:f>
              <c:numCache>
                <c:formatCode>General</c:formatCode>
                <c:ptCount val="2"/>
              </c:numCache>
            </c:numRef>
          </c:val>
          <c:extLst>
            <c:ext xmlns:c16="http://schemas.microsoft.com/office/drawing/2014/chart" uri="{C3380CC4-5D6E-409C-BE32-E72D297353CC}">
              <c16:uniqueId val="{0000001F-E641-43BB-B57F-58D01565AC5F}"/>
            </c:ext>
          </c:extLst>
        </c:ser>
        <c:ser>
          <c:idx val="3"/>
          <c:order val="3"/>
          <c:tx>
            <c:strRef>
              <c:f>PivotTables!$K$1</c:f>
              <c:strCache>
                <c:ptCount val="1"/>
                <c:pt idx="0">
                  <c:v>Sum of Annual Cost Savings
Total
($/y) </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B-BC96-41CF-AE02-5F6C6CCD9FC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D-BC96-41CF-AE02-5F6C6CCD9FC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F-BC96-41CF-AE02-5F6C6CCD9FC5}"/>
              </c:ext>
            </c:extLst>
          </c:dPt>
          <c:cat>
            <c:strRef>
              <c:f>PivotTables!$G$2:$G$4</c:f>
              <c:strCache>
                <c:ptCount val="2"/>
                <c:pt idx="0">
                  <c:v>(blank)</c:v>
                </c:pt>
                <c:pt idx="1">
                  <c:v>Compressed Air</c:v>
                </c:pt>
              </c:strCache>
            </c:strRef>
          </c:cat>
          <c:val>
            <c:numRef>
              <c:f>PivotTables!$K$2:$K$4</c:f>
              <c:numCache>
                <c:formatCode>_("$"* #,##0.00_);_("$"* \(#,##0.00\);_("$"* "-"??_);_(@_)</c:formatCode>
                <c:ptCount val="2"/>
                <c:pt idx="0">
                  <c:v>0</c:v>
                </c:pt>
                <c:pt idx="1">
                  <c:v>1568.1</c:v>
                </c:pt>
              </c:numCache>
            </c:numRef>
          </c:val>
          <c:extLst>
            <c:ext xmlns:c16="http://schemas.microsoft.com/office/drawing/2014/chart" uri="{C3380CC4-5D6E-409C-BE32-E72D297353CC}">
              <c16:uniqueId val="{00000020-E641-43BB-B57F-58D01565AC5F}"/>
            </c:ext>
          </c:extLst>
        </c:ser>
        <c:ser>
          <c:idx val="4"/>
          <c:order val="4"/>
          <c:tx>
            <c:strRef>
              <c:f>PivotTables!$L$1</c:f>
              <c:strCache>
                <c:ptCount val="1"/>
                <c:pt idx="0">
                  <c:v>Sum of Implementation Cost estimate ($)</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31-BC96-41CF-AE02-5F6C6CCD9FC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33-BC96-41CF-AE02-5F6C6CCD9FC5}"/>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35-BC96-41CF-AE02-5F6C6CCD9FC5}"/>
              </c:ext>
            </c:extLst>
          </c:dPt>
          <c:cat>
            <c:strRef>
              <c:f>PivotTables!$G$2:$G$4</c:f>
              <c:strCache>
                <c:ptCount val="2"/>
                <c:pt idx="0">
                  <c:v>(blank)</c:v>
                </c:pt>
                <c:pt idx="1">
                  <c:v>Compressed Air</c:v>
                </c:pt>
              </c:strCache>
            </c:strRef>
          </c:cat>
          <c:val>
            <c:numRef>
              <c:f>PivotTables!$L$2:$L$4</c:f>
              <c:numCache>
                <c:formatCode>_("$"* #,##0.00_);_("$"* \(#,##0.00\);_("$"* "-"??_);_(@_)</c:formatCode>
                <c:ptCount val="2"/>
              </c:numCache>
            </c:numRef>
          </c:val>
          <c:extLst>
            <c:ext xmlns:c16="http://schemas.microsoft.com/office/drawing/2014/chart" uri="{C3380CC4-5D6E-409C-BE32-E72D297353CC}">
              <c16:uniqueId val="{00000021-E641-43BB-B57F-58D01565AC5F}"/>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Workbook_v.1.2.xlsx]PivotTables!PivotTable5</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Energy Savings by Initiative Type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PivotTables!$S$1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4F7-489F-A695-0D56E4E8A46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4F7-489F-A695-0D56E4E8A461}"/>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4F7-489F-A695-0D56E4E8A461}"/>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4F7-489F-A695-0D56E4E8A461}"/>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4F7-489F-A695-0D56E4E8A461}"/>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C4F7-489F-A695-0D56E4E8A461}"/>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C4F7-489F-A695-0D56E4E8A461}"/>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C4F7-489F-A695-0D56E4E8A461}"/>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C4F7-489F-A695-0D56E4E8A4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PivotTables!$S$2</c:f>
              <c:strCache>
                <c:ptCount val="1"/>
                <c:pt idx="0">
                  <c:v>Total</c:v>
                </c:pt>
              </c:strCache>
            </c:strRef>
          </c:cat>
          <c:val>
            <c:numRef>
              <c:f>PivotTables!$S$2</c:f>
              <c:numCache>
                <c:formatCode>General</c:formatCode>
                <c:ptCount val="1"/>
                <c:pt idx="0">
                  <c:v>10000</c:v>
                </c:pt>
              </c:numCache>
            </c:numRef>
          </c:val>
          <c:extLst>
            <c:ext xmlns:c16="http://schemas.microsoft.com/office/drawing/2014/chart" uri="{C3380CC4-5D6E-409C-BE32-E72D297353CC}">
              <c16:uniqueId val="{00000012-C4F7-489F-A695-0D56E4E8A461}"/>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Workbook_v.1.2.xlsx]PivotTables!PivotTable6</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Energy Savings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PivotTables!$AB$1</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FA9-46E6-B79B-E40261D7C9F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FA9-46E6-B79B-E40261D7C9F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FA9-46E6-B79B-E40261D7C9F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FA9-46E6-B79B-E40261D7C9F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FA9-46E6-B79B-E40261D7C9F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FA9-46E6-B79B-E40261D7C9F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9FA9-46E6-B79B-E40261D7C9F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FA9-46E6-B79B-E40261D7C9F6}"/>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FA9-46E6-B79B-E40261D7C9F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PivotTables!$AA$2</c:f>
              <c:strCache>
                <c:ptCount val="1"/>
                <c:pt idx="0">
                  <c:v>Grand Total</c:v>
                </c:pt>
              </c:strCache>
            </c:strRef>
          </c:cat>
          <c:val>
            <c:numRef>
              <c:f>PivotTables!$AB$2</c:f>
              <c:numCache>
                <c:formatCode>General</c:formatCode>
                <c:ptCount val="1"/>
              </c:numCache>
            </c:numRef>
          </c:val>
          <c:extLst>
            <c:ext xmlns:c16="http://schemas.microsoft.com/office/drawing/2014/chart" uri="{C3380CC4-5D6E-409C-BE32-E72D297353CC}">
              <c16:uniqueId val="{00000012-9FA9-46E6-B79B-E40261D7C9F6}"/>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Workbook_v.1.2.xlsx]PivotTables!PivotTable7</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Substation</a:t>
            </a:r>
            <a:r>
              <a:rPr lang="en-US" baseline="0"/>
              <a:t> Peak Demand Savings (kW) by Category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Workbook_v.1.2.xlsx]PivotTables!PivotTable8</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Substation Peak Demand</a:t>
            </a:r>
            <a:r>
              <a:rPr lang="en-US" baseline="0"/>
              <a:t> Savings by Initiative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Workbook_v.1.2.xlsx]PivotTables!PivotTable9</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Substation</a:t>
            </a:r>
            <a:r>
              <a:rPr lang="en-US" baseline="0"/>
              <a:t> Peak Demand Savings (kW) by End Use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pivotFmt>
      <c:pivotFmt>
        <c:idx val="1"/>
        <c:spPr>
          <a:solidFill>
            <a:schemeClr val="accent1"/>
          </a:solidFill>
          <a:ln w="25400">
            <a:solidFill>
              <a:schemeClr val="lt1"/>
            </a:solidFill>
          </a:ln>
          <a:effectLst/>
          <a:sp3d contourW="25400">
            <a:contourClr>
              <a:schemeClr val="lt1"/>
            </a:contourClr>
          </a:sp3d>
        </c:spPr>
        <c:marker>
          <c:symbol val="none"/>
        </c:marke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[MURBRP Opportunity Assessment Workbook_v.1.2.xlsx]PivotTables!PivotTable10</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Energy and Demand Savings by End Use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noFill/>
            <a:round/>
          </a:ln>
          <a:effectLst/>
        </c:spPr>
        <c:marker>
          <c:symbol val="circle"/>
          <c:size val="8"/>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PivotTables!$N$1</c:f>
              <c:strCache>
                <c:ptCount val="1"/>
                <c:pt idx="0">
                  <c:v>Electricity Savings Estimate (kWh/y)</c:v>
                </c:pt>
              </c:strCache>
            </c:strRef>
          </c:tx>
          <c:spPr>
            <a:solidFill>
              <a:schemeClr val="accent1"/>
            </a:solidFill>
            <a:ln>
              <a:noFill/>
            </a:ln>
            <a:effectLst/>
          </c:spPr>
          <c:invertIfNegative val="0"/>
          <c:cat>
            <c:strRef>
              <c:f>PivotTables!$N$2</c:f>
              <c:strCache>
                <c:ptCount val="1"/>
                <c:pt idx="0">
                  <c:v>Total</c:v>
                </c:pt>
              </c:strCache>
            </c:strRef>
          </c:cat>
          <c:val>
            <c:numRef>
              <c:f>PivotTables!$N$2</c:f>
              <c:numCache>
                <c:formatCode>General</c:formatCode>
                <c:ptCount val="1"/>
                <c:pt idx="0">
                  <c:v>10000</c:v>
                </c:pt>
              </c:numCache>
            </c:numRef>
          </c:val>
          <c:extLst>
            <c:ext xmlns:c16="http://schemas.microsoft.com/office/drawing/2014/chart" uri="{C3380CC4-5D6E-409C-BE32-E72D297353CC}">
              <c16:uniqueId val="{00000000-9A91-4421-8A4C-DB220DDA58DF}"/>
            </c:ext>
          </c:extLst>
        </c:ser>
        <c:dLbls>
          <c:showLegendKey val="0"/>
          <c:showVal val="0"/>
          <c:showCatName val="0"/>
          <c:showSerName val="0"/>
          <c:showPercent val="0"/>
          <c:showBubbleSize val="0"/>
        </c:dLbls>
        <c:gapWidth val="219"/>
        <c:overlap val="-27"/>
        <c:axId val="667484904"/>
        <c:axId val="667507208"/>
      </c:barChart>
      <c:lineChart>
        <c:grouping val="standard"/>
        <c:varyColors val="0"/>
        <c:ser>
          <c:idx val="1"/>
          <c:order val="1"/>
          <c:tx>
            <c:strRef>
              <c:f>PivotTables!$O$1</c:f>
              <c:strCache>
                <c:ptCount val="1"/>
                <c:pt idx="0">
                  <c:v>Customer Electricity Demand Savings (kW/mo)</c:v>
                </c:pt>
              </c:strCache>
            </c:strRef>
          </c:tx>
          <c:spPr>
            <a:ln w="28575" cap="rnd">
              <a:noFill/>
              <a:round/>
            </a:ln>
            <a:effectLst/>
          </c:spPr>
          <c:marker>
            <c:symbol val="circle"/>
            <c:size val="8"/>
            <c:spPr>
              <a:solidFill>
                <a:schemeClr val="accent2"/>
              </a:solidFill>
              <a:ln w="9525">
                <a:solidFill>
                  <a:schemeClr val="accent2"/>
                </a:solidFill>
              </a:ln>
              <a:effectLst/>
            </c:spPr>
          </c:marker>
          <c:cat>
            <c:strRef>
              <c:f>PivotTables!$N$2</c:f>
              <c:strCache>
                <c:ptCount val="1"/>
                <c:pt idx="0">
                  <c:v>Total</c:v>
                </c:pt>
              </c:strCache>
            </c:strRef>
          </c:cat>
          <c:val>
            <c:numRef>
              <c:f>PivotTables!$O$2</c:f>
              <c:numCache>
                <c:formatCode>General</c:formatCode>
                <c:ptCount val="1"/>
                <c:pt idx="0">
                  <c:v>10</c:v>
                </c:pt>
              </c:numCache>
            </c:numRef>
          </c:val>
          <c:smooth val="0"/>
          <c:extLst>
            <c:ext xmlns:c16="http://schemas.microsoft.com/office/drawing/2014/chart" uri="{C3380CC4-5D6E-409C-BE32-E72D297353CC}">
              <c16:uniqueId val="{00000001-9A91-4421-8A4C-DB220DDA58DF}"/>
            </c:ext>
          </c:extLst>
        </c:ser>
        <c:dLbls>
          <c:showLegendKey val="0"/>
          <c:showVal val="0"/>
          <c:showCatName val="0"/>
          <c:showSerName val="0"/>
          <c:showPercent val="0"/>
          <c:showBubbleSize val="0"/>
        </c:dLbls>
        <c:marker val="1"/>
        <c:smooth val="0"/>
        <c:axId val="461910048"/>
        <c:axId val="301836200"/>
      </c:lineChart>
      <c:catAx>
        <c:axId val="667484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507208"/>
        <c:crosses val="autoZero"/>
        <c:auto val="1"/>
        <c:lblAlgn val="ctr"/>
        <c:lblOffset val="100"/>
        <c:noMultiLvlLbl val="0"/>
      </c:catAx>
      <c:valAx>
        <c:axId val="667507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kWh/yr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484904"/>
        <c:crosses val="autoZero"/>
        <c:crossBetween val="between"/>
      </c:valAx>
      <c:valAx>
        <c:axId val="30183620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910048"/>
        <c:crosses val="max"/>
        <c:crossBetween val="between"/>
      </c:valAx>
      <c:catAx>
        <c:axId val="461910048"/>
        <c:scaling>
          <c:orientation val="minMax"/>
        </c:scaling>
        <c:delete val="1"/>
        <c:axPos val="b"/>
        <c:numFmt formatCode="General" sourceLinked="1"/>
        <c:majorTickMark val="out"/>
        <c:minorTickMark val="none"/>
        <c:tickLblPos val="nextTo"/>
        <c:crossAx val="3018362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5">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2.emf"/><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709706</xdr:colOff>
      <xdr:row>2</xdr:row>
      <xdr:rowOff>22412</xdr:rowOff>
    </xdr:from>
    <xdr:to>
      <xdr:col>13</xdr:col>
      <xdr:colOff>187434</xdr:colOff>
      <xdr:row>6</xdr:row>
      <xdr:rowOff>164657</xdr:rowOff>
    </xdr:to>
    <xdr:pic>
      <xdr:nvPicPr>
        <xdr:cNvPr id="3" name="Picture 2">
          <a:extLst>
            <a:ext uri="{FF2B5EF4-FFF2-40B4-BE49-F238E27FC236}">
              <a16:creationId xmlns:a16="http://schemas.microsoft.com/office/drawing/2014/main" id="{3166DF20-96FF-4070-82E9-7FAF76C54FA6}"/>
            </a:ext>
          </a:extLst>
        </xdr:cNvPr>
        <xdr:cNvPicPr>
          <a:picLocks noChangeAspect="1"/>
        </xdr:cNvPicPr>
      </xdr:nvPicPr>
      <xdr:blipFill>
        <a:blip xmlns:r="http://schemas.openxmlformats.org/officeDocument/2006/relationships" r:embed="rId1"/>
        <a:stretch>
          <a:fillRect/>
        </a:stretch>
      </xdr:blipFill>
      <xdr:spPr>
        <a:xfrm>
          <a:off x="3302000" y="395941"/>
          <a:ext cx="4715544" cy="862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1322916</xdr:colOff>
      <xdr:row>1</xdr:row>
      <xdr:rowOff>13231</xdr:rowOff>
    </xdr:from>
    <xdr:to>
      <xdr:col>11</xdr:col>
      <xdr:colOff>1799167</xdr:colOff>
      <xdr:row>2</xdr:row>
      <xdr:rowOff>601119</xdr:rowOff>
    </xdr:to>
    <xdr:pic>
      <xdr:nvPicPr>
        <xdr:cNvPr id="3" name="Picture 2">
          <a:extLst>
            <a:ext uri="{FF2B5EF4-FFF2-40B4-BE49-F238E27FC236}">
              <a16:creationId xmlns:a16="http://schemas.microsoft.com/office/drawing/2014/main" id="{65B9DB0D-BB06-46E4-9590-80AE864EFA95}"/>
            </a:ext>
          </a:extLst>
        </xdr:cNvPr>
        <xdr:cNvPicPr>
          <a:picLocks noChangeAspect="1"/>
        </xdr:cNvPicPr>
      </xdr:nvPicPr>
      <xdr:blipFill>
        <a:blip xmlns:r="http://schemas.openxmlformats.org/officeDocument/2006/relationships" r:embed="rId1"/>
        <a:stretch>
          <a:fillRect/>
        </a:stretch>
      </xdr:blipFill>
      <xdr:spPr>
        <a:xfrm>
          <a:off x="13996458" y="198439"/>
          <a:ext cx="4153959" cy="759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885659</xdr:colOff>
      <xdr:row>5</xdr:row>
      <xdr:rowOff>518027</xdr:rowOff>
    </xdr:from>
    <xdr:to>
      <xdr:col>18</xdr:col>
      <xdr:colOff>5190625</xdr:colOff>
      <xdr:row>8</xdr:row>
      <xdr:rowOff>238459</xdr:rowOff>
    </xdr:to>
    <xdr:pic>
      <xdr:nvPicPr>
        <xdr:cNvPr id="3" name="Picture 2">
          <a:extLst>
            <a:ext uri="{FF2B5EF4-FFF2-40B4-BE49-F238E27FC236}">
              <a16:creationId xmlns:a16="http://schemas.microsoft.com/office/drawing/2014/main" id="{5F47D745-24BA-4D8E-B9E7-117D571E816B}"/>
            </a:ext>
          </a:extLst>
        </xdr:cNvPr>
        <xdr:cNvPicPr>
          <a:picLocks noChangeAspect="1"/>
        </xdr:cNvPicPr>
      </xdr:nvPicPr>
      <xdr:blipFill>
        <a:blip xmlns:r="http://schemas.openxmlformats.org/officeDocument/2006/relationships" r:embed="rId1"/>
        <a:stretch>
          <a:fillRect/>
        </a:stretch>
      </xdr:blipFill>
      <xdr:spPr>
        <a:xfrm>
          <a:off x="20804606" y="751974"/>
          <a:ext cx="9307764" cy="1702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238125</xdr:colOff>
      <xdr:row>1</xdr:row>
      <xdr:rowOff>120650</xdr:rowOff>
    </xdr:from>
    <xdr:to>
      <xdr:col>13</xdr:col>
      <xdr:colOff>238125</xdr:colOff>
      <xdr:row>1</xdr:row>
      <xdr:rowOff>685800</xdr:rowOff>
    </xdr:to>
    <xdr:pic>
      <xdr:nvPicPr>
        <xdr:cNvPr id="15" name="Picture 14" descr="L_BCH_RGB.eps">
          <a:extLst>
            <a:ext uri="{FF2B5EF4-FFF2-40B4-BE49-F238E27FC236}">
              <a16:creationId xmlns:a16="http://schemas.microsoft.com/office/drawing/2014/main" id="{6CDABCE7-E35F-4FC1-959C-84F40A140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91725" y="311150"/>
          <a:ext cx="1828800" cy="565150"/>
        </a:xfrm>
        <a:prstGeom prst="rect">
          <a:avLst/>
        </a:prstGeom>
      </xdr:spPr>
    </xdr:pic>
    <xdr:clientData/>
  </xdr:twoCellAnchor>
  <xdr:twoCellAnchor>
    <xdr:from>
      <xdr:col>0</xdr:col>
      <xdr:colOff>571501</xdr:colOff>
      <xdr:row>10</xdr:row>
      <xdr:rowOff>95250</xdr:rowOff>
    </xdr:from>
    <xdr:to>
      <xdr:col>6</xdr:col>
      <xdr:colOff>23813</xdr:colOff>
      <xdr:row>25</xdr:row>
      <xdr:rowOff>130967</xdr:rowOff>
    </xdr:to>
    <xdr:graphicFrame macro="">
      <xdr:nvGraphicFramePr>
        <xdr:cNvPr id="23" name="Chart 22">
          <a:extLst>
            <a:ext uri="{FF2B5EF4-FFF2-40B4-BE49-F238E27FC236}">
              <a16:creationId xmlns:a16="http://schemas.microsoft.com/office/drawing/2014/main" id="{CD3ADF5C-8303-44F1-857E-C390AE9FA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26192</xdr:colOff>
      <xdr:row>10</xdr:row>
      <xdr:rowOff>95249</xdr:rowOff>
    </xdr:from>
    <xdr:to>
      <xdr:col>13</xdr:col>
      <xdr:colOff>547687</xdr:colOff>
      <xdr:row>25</xdr:row>
      <xdr:rowOff>166687</xdr:rowOff>
    </xdr:to>
    <xdr:graphicFrame macro="">
      <xdr:nvGraphicFramePr>
        <xdr:cNvPr id="27" name="Chart 26">
          <a:extLst>
            <a:ext uri="{FF2B5EF4-FFF2-40B4-BE49-F238E27FC236}">
              <a16:creationId xmlns:a16="http://schemas.microsoft.com/office/drawing/2014/main" id="{16666352-3F9F-437D-972D-27F35F0D4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11906</xdr:colOff>
      <xdr:row>28</xdr:row>
      <xdr:rowOff>83343</xdr:rowOff>
    </xdr:from>
    <xdr:to>
      <xdr:col>6</xdr:col>
      <xdr:colOff>11906</xdr:colOff>
      <xdr:row>48</xdr:row>
      <xdr:rowOff>11905</xdr:rowOff>
    </xdr:to>
    <xdr:graphicFrame macro="">
      <xdr:nvGraphicFramePr>
        <xdr:cNvPr id="28" name="Chart 27">
          <a:extLst>
            <a:ext uri="{FF2B5EF4-FFF2-40B4-BE49-F238E27FC236}">
              <a16:creationId xmlns:a16="http://schemas.microsoft.com/office/drawing/2014/main" id="{1283A881-BBA8-4CA7-BC36-956829D70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23813</xdr:colOff>
      <xdr:row>50</xdr:row>
      <xdr:rowOff>95251</xdr:rowOff>
    </xdr:from>
    <xdr:to>
      <xdr:col>5</xdr:col>
      <xdr:colOff>1154906</xdr:colOff>
      <xdr:row>69</xdr:row>
      <xdr:rowOff>107158</xdr:rowOff>
    </xdr:to>
    <xdr:graphicFrame macro="">
      <xdr:nvGraphicFramePr>
        <xdr:cNvPr id="29" name="Chart 28">
          <a:extLst>
            <a:ext uri="{FF2B5EF4-FFF2-40B4-BE49-F238E27FC236}">
              <a16:creationId xmlns:a16="http://schemas.microsoft.com/office/drawing/2014/main" id="{E3F7D164-555B-4884-B0C3-050D4F332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23811</xdr:colOff>
      <xdr:row>70</xdr:row>
      <xdr:rowOff>107157</xdr:rowOff>
    </xdr:from>
    <xdr:to>
      <xdr:col>5</xdr:col>
      <xdr:colOff>1131092</xdr:colOff>
      <xdr:row>89</xdr:row>
      <xdr:rowOff>154782</xdr:rowOff>
    </xdr:to>
    <xdr:graphicFrame macro="">
      <xdr:nvGraphicFramePr>
        <xdr:cNvPr id="30" name="Chart 29">
          <a:extLst>
            <a:ext uri="{FF2B5EF4-FFF2-40B4-BE49-F238E27FC236}">
              <a16:creationId xmlns:a16="http://schemas.microsoft.com/office/drawing/2014/main" id="{0E1EA013-3D1B-4ECB-879B-A505E97B8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340519</xdr:colOff>
      <xdr:row>93</xdr:row>
      <xdr:rowOff>35719</xdr:rowOff>
    </xdr:from>
    <xdr:to>
      <xdr:col>13</xdr:col>
      <xdr:colOff>542925</xdr:colOff>
      <xdr:row>108</xdr:row>
      <xdr:rowOff>100013</xdr:rowOff>
    </xdr:to>
    <xdr:graphicFrame macro="">
      <xdr:nvGraphicFramePr>
        <xdr:cNvPr id="31" name="Chart 30">
          <a:extLst>
            <a:ext uri="{FF2B5EF4-FFF2-40B4-BE49-F238E27FC236}">
              <a16:creationId xmlns:a16="http://schemas.microsoft.com/office/drawing/2014/main" id="{5F5B89BF-6087-4082-AD3B-F99C7F2E5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380999</xdr:colOff>
      <xdr:row>109</xdr:row>
      <xdr:rowOff>123824</xdr:rowOff>
    </xdr:from>
    <xdr:to>
      <xdr:col>13</xdr:col>
      <xdr:colOff>535780</xdr:colOff>
      <xdr:row>125</xdr:row>
      <xdr:rowOff>95249</xdr:rowOff>
    </xdr:to>
    <xdr:graphicFrame macro="">
      <xdr:nvGraphicFramePr>
        <xdr:cNvPr id="32" name="Chart 31">
          <a:extLst>
            <a:ext uri="{FF2B5EF4-FFF2-40B4-BE49-F238E27FC236}">
              <a16:creationId xmlns:a16="http://schemas.microsoft.com/office/drawing/2014/main" id="{1DB6254D-16D0-4634-AD2D-8050498E5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392905</xdr:colOff>
      <xdr:row>93</xdr:row>
      <xdr:rowOff>47623</xdr:rowOff>
    </xdr:from>
    <xdr:to>
      <xdr:col>6</xdr:col>
      <xdr:colOff>83344</xdr:colOff>
      <xdr:row>125</xdr:row>
      <xdr:rowOff>95250</xdr:rowOff>
    </xdr:to>
    <xdr:graphicFrame macro="">
      <xdr:nvGraphicFramePr>
        <xdr:cNvPr id="33" name="Chart 32">
          <a:extLst>
            <a:ext uri="{FF2B5EF4-FFF2-40B4-BE49-F238E27FC236}">
              <a16:creationId xmlns:a16="http://schemas.microsoft.com/office/drawing/2014/main" id="{415E912B-22AD-4ED3-BA47-17D558693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142874</xdr:colOff>
      <xdr:row>28</xdr:row>
      <xdr:rowOff>95250</xdr:rowOff>
    </xdr:from>
    <xdr:to>
      <xdr:col>13</xdr:col>
      <xdr:colOff>571500</xdr:colOff>
      <xdr:row>47</xdr:row>
      <xdr:rowOff>166689</xdr:rowOff>
    </xdr:to>
    <xdr:graphicFrame macro="">
      <xdr:nvGraphicFramePr>
        <xdr:cNvPr id="40" name="Chart 39">
          <a:extLst>
            <a:ext uri="{FF2B5EF4-FFF2-40B4-BE49-F238E27FC236}">
              <a16:creationId xmlns:a16="http://schemas.microsoft.com/office/drawing/2014/main" id="{307401F8-F768-492F-8261-AB63C16BB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178595</xdr:colOff>
      <xdr:row>50</xdr:row>
      <xdr:rowOff>95251</xdr:rowOff>
    </xdr:from>
    <xdr:to>
      <xdr:col>13</xdr:col>
      <xdr:colOff>583405</xdr:colOff>
      <xdr:row>69</xdr:row>
      <xdr:rowOff>83344</xdr:rowOff>
    </xdr:to>
    <xdr:graphicFrame macro="">
      <xdr:nvGraphicFramePr>
        <xdr:cNvPr id="41" name="Chart 40">
          <a:extLst>
            <a:ext uri="{FF2B5EF4-FFF2-40B4-BE49-F238E27FC236}">
              <a16:creationId xmlns:a16="http://schemas.microsoft.com/office/drawing/2014/main" id="{0AA28F3B-2107-4A83-A1A3-8A66D6A5D8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178594</xdr:colOff>
      <xdr:row>70</xdr:row>
      <xdr:rowOff>119062</xdr:rowOff>
    </xdr:from>
    <xdr:to>
      <xdr:col>14</xdr:col>
      <xdr:colOff>23812</xdr:colOff>
      <xdr:row>89</xdr:row>
      <xdr:rowOff>178593</xdr:rowOff>
    </xdr:to>
    <xdr:graphicFrame macro="">
      <xdr:nvGraphicFramePr>
        <xdr:cNvPr id="42" name="Chart 41">
          <a:extLst>
            <a:ext uri="{FF2B5EF4-FFF2-40B4-BE49-F238E27FC236}">
              <a16:creationId xmlns:a16="http://schemas.microsoft.com/office/drawing/2014/main" id="{CF99413E-BA47-4B71-9E29-71CC8303E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47625</xdr:colOff>
      <xdr:row>1</xdr:row>
      <xdr:rowOff>95828</xdr:rowOff>
    </xdr:from>
    <xdr:to>
      <xdr:col>6</xdr:col>
      <xdr:colOff>473744</xdr:colOff>
      <xdr:row>1</xdr:row>
      <xdr:rowOff>623456</xdr:rowOff>
    </xdr:to>
    <xdr:pic>
      <xdr:nvPicPr>
        <xdr:cNvPr id="3" name="Picture 2" descr="L_BCH_RGB.eps">
          <a:extLst>
            <a:ext uri="{FF2B5EF4-FFF2-40B4-BE49-F238E27FC236}">
              <a16:creationId xmlns:a16="http://schemas.microsoft.com/office/drawing/2014/main" id="{EAA23809-B2A8-4C0D-BEBD-F230048546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3716" y="280555"/>
          <a:ext cx="1765392" cy="527628"/>
        </a:xfrm>
        <a:prstGeom prst="rect">
          <a:avLst/>
        </a:prstGeom>
      </xdr:spPr>
    </xdr:pic>
    <xdr:clientData/>
  </xdr:twoCellAnchor>
  <xdr:twoCellAnchor>
    <xdr:from>
      <xdr:col>0</xdr:col>
      <xdr:colOff>611909</xdr:colOff>
      <xdr:row>4</xdr:row>
      <xdr:rowOff>106217</xdr:rowOff>
    </xdr:from>
    <xdr:to>
      <xdr:col>5</xdr:col>
      <xdr:colOff>450273</xdr:colOff>
      <xdr:row>20</xdr:row>
      <xdr:rowOff>150091</xdr:rowOff>
    </xdr:to>
    <xdr:graphicFrame macro="">
      <xdr:nvGraphicFramePr>
        <xdr:cNvPr id="2" name="Chart 1">
          <a:extLst>
            <a:ext uri="{FF2B5EF4-FFF2-40B4-BE49-F238E27FC236}">
              <a16:creationId xmlns:a16="http://schemas.microsoft.com/office/drawing/2014/main" id="{6B0A8741-9B10-49F0-8CAC-B592756F97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658092</xdr:colOff>
      <xdr:row>4</xdr:row>
      <xdr:rowOff>69272</xdr:rowOff>
    </xdr:from>
    <xdr:to>
      <xdr:col>10</xdr:col>
      <xdr:colOff>450274</xdr:colOff>
      <xdr:row>20</xdr:row>
      <xdr:rowOff>113146</xdr:rowOff>
    </xdr:to>
    <xdr:graphicFrame macro="">
      <xdr:nvGraphicFramePr>
        <xdr:cNvPr id="4" name="Chart 3">
          <a:extLst>
            <a:ext uri="{FF2B5EF4-FFF2-40B4-BE49-F238E27FC236}">
              <a16:creationId xmlns:a16="http://schemas.microsoft.com/office/drawing/2014/main" id="{94A79D7D-AB0E-4BED-83C5-899837161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27</xdr:col>
      <xdr:colOff>429780</xdr:colOff>
      <xdr:row>9</xdr:row>
      <xdr:rowOff>60342</xdr:rowOff>
    </xdr:from>
    <xdr:to>
      <xdr:col>31</xdr:col>
      <xdr:colOff>1084551</xdr:colOff>
      <xdr:row>26</xdr:row>
      <xdr:rowOff>45862</xdr:rowOff>
    </xdr:to>
    <xdr:pic>
      <xdr:nvPicPr>
        <xdr:cNvPr id="6" name="Picture 5">
          <a:extLst>
            <a:ext uri="{FF2B5EF4-FFF2-40B4-BE49-F238E27FC236}">
              <a16:creationId xmlns:a16="http://schemas.microsoft.com/office/drawing/2014/main" id="{DECE6B72-A210-405D-BB79-A06F66E5D890}"/>
            </a:ext>
          </a:extLst>
        </xdr:cNvPr>
        <xdr:cNvPicPr>
          <a:picLocks noChangeAspect="1"/>
        </xdr:cNvPicPr>
      </xdr:nvPicPr>
      <xdr:blipFill>
        <a:blip xmlns:r="http://schemas.openxmlformats.org/officeDocument/2006/relationships" r:embed="rId1"/>
        <a:stretch>
          <a:fillRect/>
        </a:stretch>
      </xdr:blipFill>
      <xdr:spPr>
        <a:xfrm>
          <a:off x="47135898" y="2615283"/>
          <a:ext cx="6730397" cy="49385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MURB%20Opportunity%20Assessment%20Workbook_DRAFT_12Jul2024.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piegel, Ari" refreshedDate="45070.473482870373" createdVersion="6" refreshedVersion="7" minRefreshableVersion="3" recordCount="15" xr:uid="{BC12537E-3F41-489F-9000-FA073A5D7EF9}">
  <cacheSource type="worksheet">
    <worksheetSource ref="C58:L82" sheet="Basic Info" r:id="rId2"/>
  </cacheSource>
  <cacheFields count="9">
    <cacheField name="System / End use" numFmtId="0">
      <sharedItems containsBlank="1" count="34">
        <s v="Space Heating"/>
        <s v="Compressed Air"/>
        <m/>
        <s v="" u="1"/>
        <s v="Warehousing/Shipping" u="1"/>
        <s v="Lighting (Interior)" u="1"/>
        <s v="Air Compressors" u="1"/>
        <s v="Sawmill" u="1"/>
        <s v="Miscellaneous" u="1"/>
        <s v="Ventilation" u="1"/>
        <s v="Others" u="1"/>
        <s v="Office Equipment" u="1"/>
        <s v="Cooking" u="1"/>
        <s v="Planer" u="1"/>
        <s v="Pulping" u="1"/>
        <s v="Space Cooling" u="1"/>
        <s v="Rejects/Re-Pulping" u="1"/>
        <s v="Fans" u="1"/>
        <s v="Custom 3" u="1"/>
        <s v="Bleaching" u="1"/>
        <s v="Chips and Hog" u="1"/>
        <s v="Paper Machines" u="1"/>
        <s v="Mill Water/Effluent" u="1"/>
        <s v="Brownstock" u="1"/>
        <s v="Pumps" u="1"/>
        <s v="Lighting (Exterior)" u="1"/>
        <s v="Steam Generation/Power Boiler" u="1"/>
        <s v="Custom 2" u="1"/>
        <s v="Process" u="1"/>
        <s v="Refrigeration" u="1"/>
        <s v="Other Plug Loads" u="1"/>
        <s v="Water Heating" u="1"/>
        <s v="Custom 1" u="1"/>
        <s v="Kiln/Drying" u="1"/>
      </sharedItems>
    </cacheField>
    <cacheField name="Area of Service" numFmtId="0">
      <sharedItems containsNonDate="0" containsString="0" containsBlank="1"/>
    </cacheField>
    <cacheField name="Thermal Power Input (MBH)" numFmtId="0">
      <sharedItems containsString="0" containsBlank="1" containsNumber="1" containsInteger="1" minValue="1000" maxValue="1000"/>
    </cacheField>
    <cacheField name="Electical Power Input (kW)" numFmtId="0">
      <sharedItems containsString="0" containsBlank="1" containsNumber="1" containsInteger="1" minValue="100" maxValue="100"/>
    </cacheField>
    <cacheField name="Operating hours_x000a_ (h/y)" numFmtId="0">
      <sharedItems containsString="0" containsBlank="1" containsNumber="1" containsInteger="1" minValue="2000" maxValue="8000"/>
    </cacheField>
    <cacheField name="Annual Fuel Consumption (GJ/y) " numFmtId="37">
      <sharedItems containsSemiMixedTypes="0" containsString="0" containsNumber="1" containsInteger="1" minValue="0" maxValue="211"/>
    </cacheField>
    <cacheField name="Annual Electrical Consumption _x000a_(kWh/y)" numFmtId="37">
      <sharedItems containsSemiMixedTypes="0" containsString="0" containsNumber="1" containsInteger="1" minValue="0" maxValue="800000"/>
    </cacheField>
    <cacheField name="% Electrical Consumption" numFmtId="10">
      <sharedItems containsMixedTypes="1" containsNumber="1" containsInteger="1" minValue="0" maxValue="0"/>
    </cacheField>
    <cacheField name="% Fuel Consumption" numFmtId="10">
      <sharedItems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piegel, Ari" refreshedDate="45070.488845138891" createdVersion="6" refreshedVersion="7" minRefreshableVersion="3" recordCount="100" xr:uid="{D6675A2B-A4D9-443A-A620-940D2018E4C5}">
  <cacheSource type="worksheet">
    <worksheetSource name="Table3"/>
  </cacheSource>
  <cacheFields count="24">
    <cacheField name="No." numFmtId="0">
      <sharedItems containsSemiMixedTypes="0" containsString="0" containsNumber="1" containsInteger="1" minValue="1" maxValue="100"/>
    </cacheField>
    <cacheField name="Opportunity Description" numFmtId="0">
      <sharedItems containsNonDate="0" containsString="0" containsBlank="1"/>
    </cacheField>
    <cacheField name="End Use" numFmtId="0">
      <sharedItems containsBlank="1" count="4">
        <s v="Compressed Air"/>
        <m/>
        <s v="Lighting (Interior)" u="1"/>
        <s v="Space Heating" u="1"/>
      </sharedItems>
    </cacheField>
    <cacheField name="Initiative Type " numFmtId="0">
      <sharedItems containsBlank="1" count="12">
        <s v="Demand Response"/>
        <m/>
        <s v="Demand Response (DR)" u="1"/>
        <s v="Low Carbon Electrification" u="1"/>
        <s v="Electricity and Thermal Storage" u="1"/>
        <s v="Distributed Generation (DG)" u="1"/>
        <s v="Other" u="1"/>
        <s v="Energy Efficiency" u="1"/>
        <s v="Electricy and Thermal Storage" u="1"/>
        <s v="Energy Efficiency (EE)" u="1"/>
        <s v="Load Management" u="1"/>
        <s v="Rate Design" u="1"/>
      </sharedItems>
    </cacheField>
    <cacheField name="Recommended Next Step" numFmtId="0">
      <sharedItems containsNonDate="0" containsString="0" containsBlank="1"/>
    </cacheField>
    <cacheField name="Electricity Savings Estimate_x000a_(kWh/y)" numFmtId="3">
      <sharedItems containsString="0" containsBlank="1" containsNumber="1" containsInteger="1" minValue="10000" maxValue="10000"/>
    </cacheField>
    <cacheField name="Customer Electricity Demand Savings_x000a_(kW/month)" numFmtId="3">
      <sharedItems containsString="0" containsBlank="1" containsNumber="1" containsInteger="1" minValue="10" maxValue="10"/>
    </cacheField>
    <cacheField name="Fuel Savings Estimate_x000a_(GJ/y)" numFmtId="3">
      <sharedItems containsNonDate="0" containsString="0" containsBlank="1"/>
    </cacheField>
    <cacheField name="Implementation Cost estimate ($)" numFmtId="166">
      <sharedItems containsNonDate="0" containsString="0" containsBlank="1"/>
    </cacheField>
    <cacheField name="Annual Energy Cost Savings_x000a__x000a_($/y) " numFmtId="166">
      <sharedItems containsMixedTypes="1" containsNumber="1" minValue="514.5" maxValue="514.5"/>
    </cacheField>
    <cacheField name="Annual Cost Savings_x000a_Demand_x000a_($/y) " numFmtId="166">
      <sharedItems containsMixedTypes="1" containsNumber="1" minValue="1053.5999999999999" maxValue="1053.5999999999999"/>
    </cacheField>
    <cacheField name="Annual Fuel Cost Savings ($/y)" numFmtId="166">
      <sharedItems containsSemiMixedTypes="0" containsString="0" containsNumber="1" containsInteger="1" minValue="0" maxValue="0"/>
    </cacheField>
    <cacheField name="Annual Cost Savings_x000a_Total_x000a_($/y) " numFmtId="166">
      <sharedItems containsSemiMixedTypes="0" containsString="0" containsNumber="1" minValue="0" maxValue="1568.1"/>
    </cacheField>
    <cacheField name="Payback (years)" numFmtId="165">
      <sharedItems/>
    </cacheField>
    <cacheField name="GHG Savings (tCO2e/y)" numFmtId="165">
      <sharedItems containsSemiMixedTypes="0" containsString="0" containsNumber="1" minValue="0" maxValue="0.115"/>
    </cacheField>
    <cacheField name="Customer Impact_x000a_1 - low 5 - high" numFmtId="0">
      <sharedItems containsNonDate="0" containsString="0" containsBlank="1"/>
    </cacheField>
    <cacheField name="Customer Effort_x000a_1 - low 5 - high" numFmtId="0">
      <sharedItems containsNonDate="0" containsString="0" containsBlank="1"/>
    </cacheField>
    <cacheField name="Priority" numFmtId="1">
      <sharedItems containsNonDate="0" containsString="0" containsBlank="1"/>
    </cacheField>
    <cacheField name="Notes_x000a_(Concerns, issues, and next steps)" numFmtId="0">
      <sharedItems containsNonDate="0" containsString="0" containsBlank="1"/>
    </cacheField>
    <cacheField name="Status" numFmtId="0">
      <sharedItems containsBlank="1"/>
    </cacheField>
    <cacheField name="Project Lead" numFmtId="0">
      <sharedItems containsNonDate="0" containsString="0" containsBlank="1"/>
    </cacheField>
    <cacheField name="BC Hydro File #   (If applicable)" numFmtId="0">
      <sharedItems containsNonDate="0" containsString="0" containsBlank="1"/>
    </cacheField>
    <cacheField name="Start Date" numFmtId="14">
      <sharedItems containsNonDate="0" containsString="0" containsBlank="1"/>
    </cacheField>
    <cacheField name="Date Completed" numFmtId="14">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m/>
    <n v="1000"/>
    <m/>
    <n v="2000"/>
    <n v="211"/>
    <n v="0"/>
    <n v="0"/>
    <e v="#DIV/0!"/>
  </r>
  <r>
    <x v="1"/>
    <m/>
    <m/>
    <n v="100"/>
    <n v="8000"/>
    <n v="0"/>
    <n v="80000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r>
    <x v="2"/>
    <m/>
    <m/>
    <m/>
    <m/>
    <n v="0"/>
    <n v="0"/>
    <e v="#DI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
  <r>
    <n v="1"/>
    <m/>
    <x v="0"/>
    <x v="0"/>
    <m/>
    <n v="10000"/>
    <n v="10"/>
    <m/>
    <m/>
    <n v="514.5"/>
    <n v="1053.5999999999999"/>
    <n v="0"/>
    <n v="1568.1"/>
    <s v=""/>
    <n v="0.115"/>
    <m/>
    <m/>
    <m/>
    <m/>
    <s v="On hold"/>
    <m/>
    <m/>
    <m/>
    <m/>
  </r>
  <r>
    <n v="2"/>
    <m/>
    <x v="1"/>
    <x v="1"/>
    <m/>
    <m/>
    <m/>
    <m/>
    <m/>
    <s v=""/>
    <s v=""/>
    <n v="0"/>
    <n v="0"/>
    <s v=""/>
    <n v="0"/>
    <m/>
    <m/>
    <m/>
    <m/>
    <m/>
    <m/>
    <m/>
    <m/>
    <m/>
  </r>
  <r>
    <n v="3"/>
    <m/>
    <x v="1"/>
    <x v="1"/>
    <m/>
    <m/>
    <m/>
    <m/>
    <m/>
    <s v=""/>
    <s v=""/>
    <n v="0"/>
    <n v="0"/>
    <s v=""/>
    <n v="0"/>
    <m/>
    <m/>
    <m/>
    <m/>
    <m/>
    <m/>
    <m/>
    <m/>
    <m/>
  </r>
  <r>
    <n v="4"/>
    <m/>
    <x v="1"/>
    <x v="1"/>
    <m/>
    <m/>
    <m/>
    <m/>
    <m/>
    <s v=""/>
    <s v=""/>
    <n v="0"/>
    <n v="0"/>
    <s v=""/>
    <n v="0"/>
    <m/>
    <m/>
    <m/>
    <m/>
    <m/>
    <m/>
    <m/>
    <m/>
    <m/>
  </r>
  <r>
    <n v="5"/>
    <m/>
    <x v="1"/>
    <x v="1"/>
    <m/>
    <m/>
    <m/>
    <m/>
    <m/>
    <s v=""/>
    <s v=""/>
    <n v="0"/>
    <n v="0"/>
    <s v=""/>
    <n v="0"/>
    <m/>
    <m/>
    <m/>
    <m/>
    <m/>
    <m/>
    <m/>
    <m/>
    <m/>
  </r>
  <r>
    <n v="6"/>
    <m/>
    <x v="1"/>
    <x v="1"/>
    <m/>
    <m/>
    <m/>
    <m/>
    <m/>
    <s v=""/>
    <s v=""/>
    <n v="0"/>
    <n v="0"/>
    <s v=""/>
    <n v="0"/>
    <m/>
    <m/>
    <m/>
    <m/>
    <m/>
    <m/>
    <m/>
    <m/>
    <m/>
  </r>
  <r>
    <n v="7"/>
    <m/>
    <x v="1"/>
    <x v="1"/>
    <m/>
    <m/>
    <m/>
    <m/>
    <m/>
    <s v=""/>
    <s v=""/>
    <n v="0"/>
    <n v="0"/>
    <s v=""/>
    <n v="0"/>
    <m/>
    <m/>
    <m/>
    <m/>
    <m/>
    <m/>
    <m/>
    <m/>
    <m/>
  </r>
  <r>
    <n v="8"/>
    <m/>
    <x v="1"/>
    <x v="1"/>
    <m/>
    <m/>
    <m/>
    <m/>
    <m/>
    <s v=""/>
    <s v=""/>
    <n v="0"/>
    <n v="0"/>
    <s v=""/>
    <n v="0"/>
    <m/>
    <m/>
    <m/>
    <m/>
    <m/>
    <m/>
    <m/>
    <m/>
    <m/>
  </r>
  <r>
    <n v="9"/>
    <m/>
    <x v="1"/>
    <x v="1"/>
    <m/>
    <m/>
    <m/>
    <m/>
    <m/>
    <s v=""/>
    <s v=""/>
    <n v="0"/>
    <n v="0"/>
    <s v=""/>
    <n v="0"/>
    <m/>
    <m/>
    <m/>
    <m/>
    <m/>
    <m/>
    <m/>
    <m/>
    <m/>
  </r>
  <r>
    <n v="10"/>
    <m/>
    <x v="1"/>
    <x v="1"/>
    <m/>
    <m/>
    <m/>
    <m/>
    <m/>
    <s v=""/>
    <s v=""/>
    <n v="0"/>
    <n v="0"/>
    <s v=""/>
    <n v="0"/>
    <m/>
    <m/>
    <m/>
    <m/>
    <m/>
    <m/>
    <m/>
    <m/>
    <m/>
  </r>
  <r>
    <n v="11"/>
    <m/>
    <x v="1"/>
    <x v="1"/>
    <m/>
    <m/>
    <m/>
    <m/>
    <m/>
    <s v=""/>
    <s v=""/>
    <n v="0"/>
    <n v="0"/>
    <s v=""/>
    <n v="0"/>
    <m/>
    <m/>
    <m/>
    <m/>
    <m/>
    <m/>
    <m/>
    <m/>
    <m/>
  </r>
  <r>
    <n v="12"/>
    <m/>
    <x v="1"/>
    <x v="1"/>
    <m/>
    <m/>
    <m/>
    <m/>
    <m/>
    <s v=""/>
    <s v=""/>
    <n v="0"/>
    <n v="0"/>
    <s v=""/>
    <n v="0"/>
    <m/>
    <m/>
    <m/>
    <m/>
    <m/>
    <m/>
    <m/>
    <m/>
    <m/>
  </r>
  <r>
    <n v="13"/>
    <m/>
    <x v="1"/>
    <x v="1"/>
    <m/>
    <m/>
    <m/>
    <m/>
    <m/>
    <s v=""/>
    <s v=""/>
    <n v="0"/>
    <n v="0"/>
    <s v=""/>
    <n v="0"/>
    <m/>
    <m/>
    <m/>
    <m/>
    <m/>
    <m/>
    <m/>
    <m/>
    <m/>
  </r>
  <r>
    <n v="14"/>
    <m/>
    <x v="1"/>
    <x v="1"/>
    <m/>
    <m/>
    <m/>
    <m/>
    <m/>
    <s v=""/>
    <s v=""/>
    <n v="0"/>
    <n v="0"/>
    <s v=""/>
    <n v="0"/>
    <m/>
    <m/>
    <m/>
    <m/>
    <m/>
    <m/>
    <m/>
    <m/>
    <m/>
  </r>
  <r>
    <n v="15"/>
    <m/>
    <x v="1"/>
    <x v="1"/>
    <m/>
    <m/>
    <m/>
    <m/>
    <m/>
    <s v=""/>
    <s v=""/>
    <n v="0"/>
    <n v="0"/>
    <s v=""/>
    <n v="0"/>
    <m/>
    <m/>
    <m/>
    <m/>
    <m/>
    <m/>
    <m/>
    <m/>
    <m/>
  </r>
  <r>
    <n v="16"/>
    <m/>
    <x v="1"/>
    <x v="1"/>
    <m/>
    <m/>
    <m/>
    <m/>
    <m/>
    <s v=""/>
    <s v=""/>
    <n v="0"/>
    <n v="0"/>
    <s v=""/>
    <n v="0"/>
    <m/>
    <m/>
    <m/>
    <m/>
    <m/>
    <m/>
    <m/>
    <m/>
    <m/>
  </r>
  <r>
    <n v="17"/>
    <m/>
    <x v="1"/>
    <x v="1"/>
    <m/>
    <m/>
    <m/>
    <m/>
    <m/>
    <s v=""/>
    <s v=""/>
    <n v="0"/>
    <n v="0"/>
    <s v=""/>
    <n v="0"/>
    <m/>
    <m/>
    <m/>
    <m/>
    <m/>
    <m/>
    <m/>
    <m/>
    <m/>
  </r>
  <r>
    <n v="18"/>
    <m/>
    <x v="1"/>
    <x v="1"/>
    <m/>
    <m/>
    <m/>
    <m/>
    <m/>
    <s v=""/>
    <s v=""/>
    <n v="0"/>
    <n v="0"/>
    <s v=""/>
    <n v="0"/>
    <m/>
    <m/>
    <m/>
    <m/>
    <m/>
    <m/>
    <m/>
    <m/>
    <m/>
  </r>
  <r>
    <n v="19"/>
    <m/>
    <x v="1"/>
    <x v="1"/>
    <m/>
    <m/>
    <m/>
    <m/>
    <m/>
    <s v=""/>
    <s v=""/>
    <n v="0"/>
    <n v="0"/>
    <s v=""/>
    <n v="0"/>
    <m/>
    <m/>
    <m/>
    <m/>
    <m/>
    <m/>
    <m/>
    <m/>
    <m/>
  </r>
  <r>
    <n v="20"/>
    <m/>
    <x v="1"/>
    <x v="1"/>
    <m/>
    <m/>
    <m/>
    <m/>
    <m/>
    <s v=""/>
    <s v=""/>
    <n v="0"/>
    <n v="0"/>
    <s v=""/>
    <n v="0"/>
    <m/>
    <m/>
    <m/>
    <m/>
    <m/>
    <m/>
    <m/>
    <m/>
    <m/>
  </r>
  <r>
    <n v="21"/>
    <m/>
    <x v="1"/>
    <x v="1"/>
    <m/>
    <m/>
    <m/>
    <m/>
    <m/>
    <s v=""/>
    <s v=""/>
    <n v="0"/>
    <n v="0"/>
    <s v=""/>
    <n v="0"/>
    <m/>
    <m/>
    <m/>
    <m/>
    <m/>
    <m/>
    <m/>
    <m/>
    <m/>
  </r>
  <r>
    <n v="22"/>
    <m/>
    <x v="1"/>
    <x v="1"/>
    <m/>
    <m/>
    <m/>
    <m/>
    <m/>
    <s v=""/>
    <s v=""/>
    <n v="0"/>
    <n v="0"/>
    <s v=""/>
    <n v="0"/>
    <m/>
    <m/>
    <m/>
    <m/>
    <m/>
    <m/>
    <m/>
    <m/>
    <m/>
  </r>
  <r>
    <n v="23"/>
    <m/>
    <x v="1"/>
    <x v="1"/>
    <m/>
    <m/>
    <m/>
    <m/>
    <m/>
    <s v=""/>
    <s v=""/>
    <n v="0"/>
    <n v="0"/>
    <s v=""/>
    <n v="0"/>
    <m/>
    <m/>
    <m/>
    <m/>
    <m/>
    <m/>
    <m/>
    <m/>
    <m/>
  </r>
  <r>
    <n v="24"/>
    <m/>
    <x v="1"/>
    <x v="1"/>
    <m/>
    <m/>
    <m/>
    <m/>
    <m/>
    <s v=""/>
    <s v=""/>
    <n v="0"/>
    <n v="0"/>
    <s v=""/>
    <n v="0"/>
    <m/>
    <m/>
    <m/>
    <m/>
    <m/>
    <m/>
    <m/>
    <m/>
    <m/>
  </r>
  <r>
    <n v="25"/>
    <m/>
    <x v="1"/>
    <x v="1"/>
    <m/>
    <m/>
    <m/>
    <m/>
    <m/>
    <s v=""/>
    <s v=""/>
    <n v="0"/>
    <n v="0"/>
    <s v=""/>
    <n v="0"/>
    <m/>
    <m/>
    <m/>
    <m/>
    <m/>
    <m/>
    <m/>
    <m/>
    <m/>
  </r>
  <r>
    <n v="26"/>
    <m/>
    <x v="1"/>
    <x v="1"/>
    <m/>
    <m/>
    <m/>
    <m/>
    <m/>
    <s v=""/>
    <s v=""/>
    <n v="0"/>
    <n v="0"/>
    <s v=""/>
    <n v="0"/>
    <m/>
    <m/>
    <m/>
    <m/>
    <m/>
    <m/>
    <m/>
    <m/>
    <m/>
  </r>
  <r>
    <n v="27"/>
    <m/>
    <x v="1"/>
    <x v="1"/>
    <m/>
    <m/>
    <m/>
    <m/>
    <m/>
    <s v=""/>
    <s v=""/>
    <n v="0"/>
    <n v="0"/>
    <s v=""/>
    <n v="0"/>
    <m/>
    <m/>
    <m/>
    <m/>
    <m/>
    <m/>
    <m/>
    <m/>
    <m/>
  </r>
  <r>
    <n v="28"/>
    <m/>
    <x v="1"/>
    <x v="1"/>
    <m/>
    <m/>
    <m/>
    <m/>
    <m/>
    <s v=""/>
    <s v=""/>
    <n v="0"/>
    <n v="0"/>
    <s v=""/>
    <n v="0"/>
    <m/>
    <m/>
    <m/>
    <m/>
    <m/>
    <m/>
    <m/>
    <m/>
    <m/>
  </r>
  <r>
    <n v="29"/>
    <m/>
    <x v="1"/>
    <x v="1"/>
    <m/>
    <m/>
    <m/>
    <m/>
    <m/>
    <s v=""/>
    <s v=""/>
    <n v="0"/>
    <n v="0"/>
    <s v=""/>
    <n v="0"/>
    <m/>
    <m/>
    <m/>
    <m/>
    <m/>
    <m/>
    <m/>
    <m/>
    <m/>
  </r>
  <r>
    <n v="30"/>
    <m/>
    <x v="1"/>
    <x v="1"/>
    <m/>
    <m/>
    <m/>
    <m/>
    <m/>
    <s v=""/>
    <s v=""/>
    <n v="0"/>
    <n v="0"/>
    <s v=""/>
    <n v="0"/>
    <m/>
    <m/>
    <m/>
    <m/>
    <m/>
    <m/>
    <m/>
    <m/>
    <m/>
  </r>
  <r>
    <n v="31"/>
    <m/>
    <x v="1"/>
    <x v="1"/>
    <m/>
    <m/>
    <m/>
    <m/>
    <m/>
    <s v=""/>
    <s v=""/>
    <n v="0"/>
    <n v="0"/>
    <s v=""/>
    <n v="0"/>
    <m/>
    <m/>
    <m/>
    <m/>
    <m/>
    <m/>
    <m/>
    <m/>
    <m/>
  </r>
  <r>
    <n v="32"/>
    <m/>
    <x v="1"/>
    <x v="1"/>
    <m/>
    <m/>
    <m/>
    <m/>
    <m/>
    <s v=""/>
    <s v=""/>
    <n v="0"/>
    <n v="0"/>
    <s v=""/>
    <n v="0"/>
    <m/>
    <m/>
    <m/>
    <m/>
    <m/>
    <m/>
    <m/>
    <m/>
    <m/>
  </r>
  <r>
    <n v="33"/>
    <m/>
    <x v="1"/>
    <x v="1"/>
    <m/>
    <m/>
    <m/>
    <m/>
    <m/>
    <s v=""/>
    <s v=""/>
    <n v="0"/>
    <n v="0"/>
    <s v=""/>
    <n v="0"/>
    <m/>
    <m/>
    <m/>
    <m/>
    <m/>
    <m/>
    <m/>
    <m/>
    <m/>
  </r>
  <r>
    <n v="34"/>
    <m/>
    <x v="1"/>
    <x v="1"/>
    <m/>
    <m/>
    <m/>
    <m/>
    <m/>
    <s v=""/>
    <s v=""/>
    <n v="0"/>
    <n v="0"/>
    <s v=""/>
    <n v="0"/>
    <m/>
    <m/>
    <m/>
    <m/>
    <m/>
    <m/>
    <m/>
    <m/>
    <m/>
  </r>
  <r>
    <n v="35"/>
    <m/>
    <x v="1"/>
    <x v="1"/>
    <m/>
    <m/>
    <m/>
    <m/>
    <m/>
    <s v=""/>
    <s v=""/>
    <n v="0"/>
    <n v="0"/>
    <s v=""/>
    <n v="0"/>
    <m/>
    <m/>
    <m/>
    <m/>
    <m/>
    <m/>
    <m/>
    <m/>
    <m/>
  </r>
  <r>
    <n v="36"/>
    <m/>
    <x v="1"/>
    <x v="1"/>
    <m/>
    <m/>
    <m/>
    <m/>
    <m/>
    <s v=""/>
    <s v=""/>
    <n v="0"/>
    <n v="0"/>
    <s v=""/>
    <n v="0"/>
    <m/>
    <m/>
    <m/>
    <m/>
    <m/>
    <m/>
    <m/>
    <m/>
    <m/>
  </r>
  <r>
    <n v="37"/>
    <m/>
    <x v="1"/>
    <x v="1"/>
    <m/>
    <m/>
    <m/>
    <m/>
    <m/>
    <s v=""/>
    <s v=""/>
    <n v="0"/>
    <n v="0"/>
    <s v=""/>
    <n v="0"/>
    <m/>
    <m/>
    <m/>
    <m/>
    <m/>
    <m/>
    <m/>
    <m/>
    <m/>
  </r>
  <r>
    <n v="38"/>
    <m/>
    <x v="1"/>
    <x v="1"/>
    <m/>
    <m/>
    <m/>
    <m/>
    <m/>
    <s v=""/>
    <s v=""/>
    <n v="0"/>
    <n v="0"/>
    <s v=""/>
    <n v="0"/>
    <m/>
    <m/>
    <m/>
    <m/>
    <m/>
    <m/>
    <m/>
    <m/>
    <m/>
  </r>
  <r>
    <n v="39"/>
    <m/>
    <x v="1"/>
    <x v="1"/>
    <m/>
    <m/>
    <m/>
    <m/>
    <m/>
    <s v=""/>
    <s v=""/>
    <n v="0"/>
    <n v="0"/>
    <s v=""/>
    <n v="0"/>
    <m/>
    <m/>
    <m/>
    <m/>
    <m/>
    <m/>
    <m/>
    <m/>
    <m/>
  </r>
  <r>
    <n v="40"/>
    <m/>
    <x v="1"/>
    <x v="1"/>
    <m/>
    <m/>
    <m/>
    <m/>
    <m/>
    <s v=""/>
    <s v=""/>
    <n v="0"/>
    <n v="0"/>
    <s v=""/>
    <n v="0"/>
    <m/>
    <m/>
    <m/>
    <m/>
    <m/>
    <m/>
    <m/>
    <m/>
    <m/>
  </r>
  <r>
    <n v="41"/>
    <m/>
    <x v="1"/>
    <x v="1"/>
    <m/>
    <m/>
    <m/>
    <m/>
    <m/>
    <s v=""/>
    <s v=""/>
    <n v="0"/>
    <n v="0"/>
    <s v=""/>
    <n v="0"/>
    <m/>
    <m/>
    <m/>
    <m/>
    <m/>
    <m/>
    <m/>
    <m/>
    <m/>
  </r>
  <r>
    <n v="42"/>
    <m/>
    <x v="1"/>
    <x v="1"/>
    <m/>
    <m/>
    <m/>
    <m/>
    <m/>
    <s v=""/>
    <s v=""/>
    <n v="0"/>
    <n v="0"/>
    <s v=""/>
    <n v="0"/>
    <m/>
    <m/>
    <m/>
    <m/>
    <m/>
    <m/>
    <m/>
    <m/>
    <m/>
  </r>
  <r>
    <n v="43"/>
    <m/>
    <x v="1"/>
    <x v="1"/>
    <m/>
    <m/>
    <m/>
    <m/>
    <m/>
    <s v=""/>
    <s v=""/>
    <n v="0"/>
    <n v="0"/>
    <s v=""/>
    <n v="0"/>
    <m/>
    <m/>
    <m/>
    <m/>
    <m/>
    <m/>
    <m/>
    <m/>
    <m/>
  </r>
  <r>
    <n v="44"/>
    <m/>
    <x v="1"/>
    <x v="1"/>
    <m/>
    <m/>
    <m/>
    <m/>
    <m/>
    <s v=""/>
    <s v=""/>
    <n v="0"/>
    <n v="0"/>
    <s v=""/>
    <n v="0"/>
    <m/>
    <m/>
    <m/>
    <m/>
    <m/>
    <m/>
    <m/>
    <m/>
    <m/>
  </r>
  <r>
    <n v="45"/>
    <m/>
    <x v="1"/>
    <x v="1"/>
    <m/>
    <m/>
    <m/>
    <m/>
    <m/>
    <s v=""/>
    <s v=""/>
    <n v="0"/>
    <n v="0"/>
    <s v=""/>
    <n v="0"/>
    <m/>
    <m/>
    <m/>
    <m/>
    <m/>
    <m/>
    <m/>
    <m/>
    <m/>
  </r>
  <r>
    <n v="46"/>
    <m/>
    <x v="1"/>
    <x v="1"/>
    <m/>
    <m/>
    <m/>
    <m/>
    <m/>
    <s v=""/>
    <s v=""/>
    <n v="0"/>
    <n v="0"/>
    <s v=""/>
    <n v="0"/>
    <m/>
    <m/>
    <m/>
    <m/>
    <m/>
    <m/>
    <m/>
    <m/>
    <m/>
  </r>
  <r>
    <n v="47"/>
    <m/>
    <x v="1"/>
    <x v="1"/>
    <m/>
    <m/>
    <m/>
    <m/>
    <m/>
    <s v=""/>
    <s v=""/>
    <n v="0"/>
    <n v="0"/>
    <s v=""/>
    <n v="0"/>
    <m/>
    <m/>
    <m/>
    <m/>
    <m/>
    <m/>
    <m/>
    <m/>
    <m/>
  </r>
  <r>
    <n v="48"/>
    <m/>
    <x v="1"/>
    <x v="1"/>
    <m/>
    <m/>
    <m/>
    <m/>
    <m/>
    <s v=""/>
    <s v=""/>
    <n v="0"/>
    <n v="0"/>
    <s v=""/>
    <n v="0"/>
    <m/>
    <m/>
    <m/>
    <m/>
    <m/>
    <m/>
    <m/>
    <m/>
    <m/>
  </r>
  <r>
    <n v="49"/>
    <m/>
    <x v="1"/>
    <x v="1"/>
    <m/>
    <m/>
    <m/>
    <m/>
    <m/>
    <s v=""/>
    <s v=""/>
    <n v="0"/>
    <n v="0"/>
    <s v=""/>
    <n v="0"/>
    <m/>
    <m/>
    <m/>
    <m/>
    <m/>
    <m/>
    <m/>
    <m/>
    <m/>
  </r>
  <r>
    <n v="50"/>
    <m/>
    <x v="1"/>
    <x v="1"/>
    <m/>
    <m/>
    <m/>
    <m/>
    <m/>
    <s v=""/>
    <s v=""/>
    <n v="0"/>
    <n v="0"/>
    <s v=""/>
    <n v="0"/>
    <m/>
    <m/>
    <m/>
    <m/>
    <m/>
    <m/>
    <m/>
    <m/>
    <m/>
  </r>
  <r>
    <n v="51"/>
    <m/>
    <x v="1"/>
    <x v="1"/>
    <m/>
    <m/>
    <m/>
    <m/>
    <m/>
    <s v=""/>
    <s v=""/>
    <n v="0"/>
    <n v="0"/>
    <s v=""/>
    <n v="0"/>
    <m/>
    <m/>
    <m/>
    <m/>
    <m/>
    <m/>
    <m/>
    <m/>
    <m/>
  </r>
  <r>
    <n v="52"/>
    <m/>
    <x v="1"/>
    <x v="1"/>
    <m/>
    <m/>
    <m/>
    <m/>
    <m/>
    <s v=""/>
    <s v=""/>
    <n v="0"/>
    <n v="0"/>
    <s v=""/>
    <n v="0"/>
    <m/>
    <m/>
    <m/>
    <m/>
    <m/>
    <m/>
    <m/>
    <m/>
    <m/>
  </r>
  <r>
    <n v="53"/>
    <m/>
    <x v="1"/>
    <x v="1"/>
    <m/>
    <m/>
    <m/>
    <m/>
    <m/>
    <s v=""/>
    <s v=""/>
    <n v="0"/>
    <n v="0"/>
    <s v=""/>
    <n v="0"/>
    <m/>
    <m/>
    <m/>
    <m/>
    <m/>
    <m/>
    <m/>
    <m/>
    <m/>
  </r>
  <r>
    <n v="54"/>
    <m/>
    <x v="1"/>
    <x v="1"/>
    <m/>
    <m/>
    <m/>
    <m/>
    <m/>
    <s v=""/>
    <s v=""/>
    <n v="0"/>
    <n v="0"/>
    <s v=""/>
    <n v="0"/>
    <m/>
    <m/>
    <m/>
    <m/>
    <m/>
    <m/>
    <m/>
    <m/>
    <m/>
  </r>
  <r>
    <n v="55"/>
    <m/>
    <x v="1"/>
    <x v="1"/>
    <m/>
    <m/>
    <m/>
    <m/>
    <m/>
    <s v=""/>
    <s v=""/>
    <n v="0"/>
    <n v="0"/>
    <s v=""/>
    <n v="0"/>
    <m/>
    <m/>
    <m/>
    <m/>
    <m/>
    <m/>
    <m/>
    <m/>
    <m/>
  </r>
  <r>
    <n v="56"/>
    <m/>
    <x v="1"/>
    <x v="1"/>
    <m/>
    <m/>
    <m/>
    <m/>
    <m/>
    <s v=""/>
    <s v=""/>
    <n v="0"/>
    <n v="0"/>
    <s v=""/>
    <n v="0"/>
    <m/>
    <m/>
    <m/>
    <m/>
    <m/>
    <m/>
    <m/>
    <m/>
    <m/>
  </r>
  <r>
    <n v="57"/>
    <m/>
    <x v="1"/>
    <x v="1"/>
    <m/>
    <m/>
    <m/>
    <m/>
    <m/>
    <s v=""/>
    <s v=""/>
    <n v="0"/>
    <n v="0"/>
    <s v=""/>
    <n v="0"/>
    <m/>
    <m/>
    <m/>
    <m/>
    <m/>
    <m/>
    <m/>
    <m/>
    <m/>
  </r>
  <r>
    <n v="58"/>
    <m/>
    <x v="1"/>
    <x v="1"/>
    <m/>
    <m/>
    <m/>
    <m/>
    <m/>
    <s v=""/>
    <s v=""/>
    <n v="0"/>
    <n v="0"/>
    <s v=""/>
    <n v="0"/>
    <m/>
    <m/>
    <m/>
    <m/>
    <m/>
    <m/>
    <m/>
    <m/>
    <m/>
  </r>
  <r>
    <n v="59"/>
    <m/>
    <x v="1"/>
    <x v="1"/>
    <m/>
    <m/>
    <m/>
    <m/>
    <m/>
    <s v=""/>
    <s v=""/>
    <n v="0"/>
    <n v="0"/>
    <s v=""/>
    <n v="0"/>
    <m/>
    <m/>
    <m/>
    <m/>
    <m/>
    <m/>
    <m/>
    <m/>
    <m/>
  </r>
  <r>
    <n v="60"/>
    <m/>
    <x v="1"/>
    <x v="1"/>
    <m/>
    <m/>
    <m/>
    <m/>
    <m/>
    <s v=""/>
    <s v=""/>
    <n v="0"/>
    <n v="0"/>
    <s v=""/>
    <n v="0"/>
    <m/>
    <m/>
    <m/>
    <m/>
    <m/>
    <m/>
    <m/>
    <m/>
    <m/>
  </r>
  <r>
    <n v="61"/>
    <m/>
    <x v="1"/>
    <x v="1"/>
    <m/>
    <m/>
    <m/>
    <m/>
    <m/>
    <s v=""/>
    <s v=""/>
    <n v="0"/>
    <n v="0"/>
    <s v=""/>
    <n v="0"/>
    <m/>
    <m/>
    <m/>
    <m/>
    <m/>
    <m/>
    <m/>
    <m/>
    <m/>
  </r>
  <r>
    <n v="62"/>
    <m/>
    <x v="1"/>
    <x v="1"/>
    <m/>
    <m/>
    <m/>
    <m/>
    <m/>
    <s v=""/>
    <s v=""/>
    <n v="0"/>
    <n v="0"/>
    <s v=""/>
    <n v="0"/>
    <m/>
    <m/>
    <m/>
    <m/>
    <m/>
    <m/>
    <m/>
    <m/>
    <m/>
  </r>
  <r>
    <n v="63"/>
    <m/>
    <x v="1"/>
    <x v="1"/>
    <m/>
    <m/>
    <m/>
    <m/>
    <m/>
    <s v=""/>
    <s v=""/>
    <n v="0"/>
    <n v="0"/>
    <s v=""/>
    <n v="0"/>
    <m/>
    <m/>
    <m/>
    <m/>
    <m/>
    <m/>
    <m/>
    <m/>
    <m/>
  </r>
  <r>
    <n v="64"/>
    <m/>
    <x v="1"/>
    <x v="1"/>
    <m/>
    <m/>
    <m/>
    <m/>
    <m/>
    <s v=""/>
    <s v=""/>
    <n v="0"/>
    <n v="0"/>
    <s v=""/>
    <n v="0"/>
    <m/>
    <m/>
    <m/>
    <m/>
    <m/>
    <m/>
    <m/>
    <m/>
    <m/>
  </r>
  <r>
    <n v="65"/>
    <m/>
    <x v="1"/>
    <x v="1"/>
    <m/>
    <m/>
    <m/>
    <m/>
    <m/>
    <s v=""/>
    <s v=""/>
    <n v="0"/>
    <n v="0"/>
    <s v=""/>
    <n v="0"/>
    <m/>
    <m/>
    <m/>
    <m/>
    <m/>
    <m/>
    <m/>
    <m/>
    <m/>
  </r>
  <r>
    <n v="66"/>
    <m/>
    <x v="1"/>
    <x v="1"/>
    <m/>
    <m/>
    <m/>
    <m/>
    <m/>
    <s v=""/>
    <s v=""/>
    <n v="0"/>
    <n v="0"/>
    <s v=""/>
    <n v="0"/>
    <m/>
    <m/>
    <m/>
    <m/>
    <m/>
    <m/>
    <m/>
    <m/>
    <m/>
  </r>
  <r>
    <n v="67"/>
    <m/>
    <x v="1"/>
    <x v="1"/>
    <m/>
    <m/>
    <m/>
    <m/>
    <m/>
    <s v=""/>
    <s v=""/>
    <n v="0"/>
    <n v="0"/>
    <s v=""/>
    <n v="0"/>
    <m/>
    <m/>
    <m/>
    <m/>
    <m/>
    <m/>
    <m/>
    <m/>
    <m/>
  </r>
  <r>
    <n v="68"/>
    <m/>
    <x v="1"/>
    <x v="1"/>
    <m/>
    <m/>
    <m/>
    <m/>
    <m/>
    <s v=""/>
    <s v=""/>
    <n v="0"/>
    <n v="0"/>
    <s v=""/>
    <n v="0"/>
    <m/>
    <m/>
    <m/>
    <m/>
    <m/>
    <m/>
    <m/>
    <m/>
    <m/>
  </r>
  <r>
    <n v="69"/>
    <m/>
    <x v="1"/>
    <x v="1"/>
    <m/>
    <m/>
    <m/>
    <m/>
    <m/>
    <s v=""/>
    <s v=""/>
    <n v="0"/>
    <n v="0"/>
    <s v=""/>
    <n v="0"/>
    <m/>
    <m/>
    <m/>
    <m/>
    <m/>
    <m/>
    <m/>
    <m/>
    <m/>
  </r>
  <r>
    <n v="70"/>
    <m/>
    <x v="1"/>
    <x v="1"/>
    <m/>
    <m/>
    <m/>
    <m/>
    <m/>
    <s v=""/>
    <s v=""/>
    <n v="0"/>
    <n v="0"/>
    <s v=""/>
    <n v="0"/>
    <m/>
    <m/>
    <m/>
    <m/>
    <m/>
    <m/>
    <m/>
    <m/>
    <m/>
  </r>
  <r>
    <n v="71"/>
    <m/>
    <x v="1"/>
    <x v="1"/>
    <m/>
    <m/>
    <m/>
    <m/>
    <m/>
    <s v=""/>
    <s v=""/>
    <n v="0"/>
    <n v="0"/>
    <s v=""/>
    <n v="0"/>
    <m/>
    <m/>
    <m/>
    <m/>
    <m/>
    <m/>
    <m/>
    <m/>
    <m/>
  </r>
  <r>
    <n v="72"/>
    <m/>
    <x v="1"/>
    <x v="1"/>
    <m/>
    <m/>
    <m/>
    <m/>
    <m/>
    <s v=""/>
    <s v=""/>
    <n v="0"/>
    <n v="0"/>
    <s v=""/>
    <n v="0"/>
    <m/>
    <m/>
    <m/>
    <m/>
    <m/>
    <m/>
    <m/>
    <m/>
    <m/>
  </r>
  <r>
    <n v="73"/>
    <m/>
    <x v="1"/>
    <x v="1"/>
    <m/>
    <m/>
    <m/>
    <m/>
    <m/>
    <s v=""/>
    <s v=""/>
    <n v="0"/>
    <n v="0"/>
    <s v=""/>
    <n v="0"/>
    <m/>
    <m/>
    <m/>
    <m/>
    <m/>
    <m/>
    <m/>
    <m/>
    <m/>
  </r>
  <r>
    <n v="74"/>
    <m/>
    <x v="1"/>
    <x v="1"/>
    <m/>
    <m/>
    <m/>
    <m/>
    <m/>
    <s v=""/>
    <s v=""/>
    <n v="0"/>
    <n v="0"/>
    <s v=""/>
    <n v="0"/>
    <m/>
    <m/>
    <m/>
    <m/>
    <m/>
    <m/>
    <m/>
    <m/>
    <m/>
  </r>
  <r>
    <n v="75"/>
    <m/>
    <x v="1"/>
    <x v="1"/>
    <m/>
    <m/>
    <m/>
    <m/>
    <m/>
    <s v=""/>
    <s v=""/>
    <n v="0"/>
    <n v="0"/>
    <s v=""/>
    <n v="0"/>
    <m/>
    <m/>
    <m/>
    <m/>
    <m/>
    <m/>
    <m/>
    <m/>
    <m/>
  </r>
  <r>
    <n v="76"/>
    <m/>
    <x v="1"/>
    <x v="1"/>
    <m/>
    <m/>
    <m/>
    <m/>
    <m/>
    <s v=""/>
    <s v=""/>
    <n v="0"/>
    <n v="0"/>
    <s v=""/>
    <n v="0"/>
    <m/>
    <m/>
    <m/>
    <m/>
    <m/>
    <m/>
    <m/>
    <m/>
    <m/>
  </r>
  <r>
    <n v="77"/>
    <m/>
    <x v="1"/>
    <x v="1"/>
    <m/>
    <m/>
    <m/>
    <m/>
    <m/>
    <s v=""/>
    <s v=""/>
    <n v="0"/>
    <n v="0"/>
    <s v=""/>
    <n v="0"/>
    <m/>
    <m/>
    <m/>
    <m/>
    <m/>
    <m/>
    <m/>
    <m/>
    <m/>
  </r>
  <r>
    <n v="78"/>
    <m/>
    <x v="1"/>
    <x v="1"/>
    <m/>
    <m/>
    <m/>
    <m/>
    <m/>
    <s v=""/>
    <s v=""/>
    <n v="0"/>
    <n v="0"/>
    <s v=""/>
    <n v="0"/>
    <m/>
    <m/>
    <m/>
    <m/>
    <m/>
    <m/>
    <m/>
    <m/>
    <m/>
  </r>
  <r>
    <n v="79"/>
    <m/>
    <x v="1"/>
    <x v="1"/>
    <m/>
    <m/>
    <m/>
    <m/>
    <m/>
    <s v=""/>
    <s v=""/>
    <n v="0"/>
    <n v="0"/>
    <s v=""/>
    <n v="0"/>
    <m/>
    <m/>
    <m/>
    <m/>
    <m/>
    <m/>
    <m/>
    <m/>
    <m/>
  </r>
  <r>
    <n v="80"/>
    <m/>
    <x v="1"/>
    <x v="1"/>
    <m/>
    <m/>
    <m/>
    <m/>
    <m/>
    <s v=""/>
    <s v=""/>
    <n v="0"/>
    <n v="0"/>
    <s v=""/>
    <n v="0"/>
    <m/>
    <m/>
    <m/>
    <m/>
    <m/>
    <m/>
    <m/>
    <m/>
    <m/>
  </r>
  <r>
    <n v="81"/>
    <m/>
    <x v="1"/>
    <x v="1"/>
    <m/>
    <m/>
    <m/>
    <m/>
    <m/>
    <s v=""/>
    <s v=""/>
    <n v="0"/>
    <n v="0"/>
    <s v=""/>
    <n v="0"/>
    <m/>
    <m/>
    <m/>
    <m/>
    <m/>
    <m/>
    <m/>
    <m/>
    <m/>
  </r>
  <r>
    <n v="82"/>
    <m/>
    <x v="1"/>
    <x v="1"/>
    <m/>
    <m/>
    <m/>
    <m/>
    <m/>
    <s v=""/>
    <s v=""/>
    <n v="0"/>
    <n v="0"/>
    <s v=""/>
    <n v="0"/>
    <m/>
    <m/>
    <m/>
    <m/>
    <m/>
    <m/>
    <m/>
    <m/>
    <m/>
  </r>
  <r>
    <n v="83"/>
    <m/>
    <x v="1"/>
    <x v="1"/>
    <m/>
    <m/>
    <m/>
    <m/>
    <m/>
    <s v=""/>
    <s v=""/>
    <n v="0"/>
    <n v="0"/>
    <s v=""/>
    <n v="0"/>
    <m/>
    <m/>
    <m/>
    <m/>
    <m/>
    <m/>
    <m/>
    <m/>
    <m/>
  </r>
  <r>
    <n v="84"/>
    <m/>
    <x v="1"/>
    <x v="1"/>
    <m/>
    <m/>
    <m/>
    <m/>
    <m/>
    <s v=""/>
    <s v=""/>
    <n v="0"/>
    <n v="0"/>
    <s v=""/>
    <n v="0"/>
    <m/>
    <m/>
    <m/>
    <m/>
    <m/>
    <m/>
    <m/>
    <m/>
    <m/>
  </r>
  <r>
    <n v="85"/>
    <m/>
    <x v="1"/>
    <x v="1"/>
    <m/>
    <m/>
    <m/>
    <m/>
    <m/>
    <s v=""/>
    <s v=""/>
    <n v="0"/>
    <n v="0"/>
    <s v=""/>
    <n v="0"/>
    <m/>
    <m/>
    <m/>
    <m/>
    <m/>
    <m/>
    <m/>
    <m/>
    <m/>
  </r>
  <r>
    <n v="86"/>
    <m/>
    <x v="1"/>
    <x v="1"/>
    <m/>
    <m/>
    <m/>
    <m/>
    <m/>
    <s v=""/>
    <s v=""/>
    <n v="0"/>
    <n v="0"/>
    <s v=""/>
    <n v="0"/>
    <m/>
    <m/>
    <m/>
    <m/>
    <m/>
    <m/>
    <m/>
    <m/>
    <m/>
  </r>
  <r>
    <n v="87"/>
    <m/>
    <x v="1"/>
    <x v="1"/>
    <m/>
    <m/>
    <m/>
    <m/>
    <m/>
    <s v=""/>
    <s v=""/>
    <n v="0"/>
    <n v="0"/>
    <s v=""/>
    <n v="0"/>
    <m/>
    <m/>
    <m/>
    <m/>
    <m/>
    <m/>
    <m/>
    <m/>
    <m/>
  </r>
  <r>
    <n v="88"/>
    <m/>
    <x v="1"/>
    <x v="1"/>
    <m/>
    <m/>
    <m/>
    <m/>
    <m/>
    <s v=""/>
    <s v=""/>
    <n v="0"/>
    <n v="0"/>
    <s v=""/>
    <n v="0"/>
    <m/>
    <m/>
    <m/>
    <m/>
    <m/>
    <m/>
    <m/>
    <m/>
    <m/>
  </r>
  <r>
    <n v="89"/>
    <m/>
    <x v="1"/>
    <x v="1"/>
    <m/>
    <m/>
    <m/>
    <m/>
    <m/>
    <s v=""/>
    <s v=""/>
    <n v="0"/>
    <n v="0"/>
    <s v=""/>
    <n v="0"/>
    <m/>
    <m/>
    <m/>
    <m/>
    <m/>
    <m/>
    <m/>
    <m/>
    <m/>
  </r>
  <r>
    <n v="90"/>
    <m/>
    <x v="1"/>
    <x v="1"/>
    <m/>
    <m/>
    <m/>
    <m/>
    <m/>
    <s v=""/>
    <s v=""/>
    <n v="0"/>
    <n v="0"/>
    <s v=""/>
    <n v="0"/>
    <m/>
    <m/>
    <m/>
    <m/>
    <m/>
    <m/>
    <m/>
    <m/>
    <m/>
  </r>
  <r>
    <n v="91"/>
    <m/>
    <x v="1"/>
    <x v="1"/>
    <m/>
    <m/>
    <m/>
    <m/>
    <m/>
    <s v=""/>
    <s v=""/>
    <n v="0"/>
    <n v="0"/>
    <s v=""/>
    <n v="0"/>
    <m/>
    <m/>
    <m/>
    <m/>
    <m/>
    <m/>
    <m/>
    <m/>
    <m/>
  </r>
  <r>
    <n v="92"/>
    <m/>
    <x v="1"/>
    <x v="1"/>
    <m/>
    <m/>
    <m/>
    <m/>
    <m/>
    <s v=""/>
    <s v=""/>
    <n v="0"/>
    <n v="0"/>
    <s v=""/>
    <n v="0"/>
    <m/>
    <m/>
    <m/>
    <m/>
    <m/>
    <m/>
    <m/>
    <m/>
    <m/>
  </r>
  <r>
    <n v="93"/>
    <m/>
    <x v="1"/>
    <x v="1"/>
    <m/>
    <m/>
    <m/>
    <m/>
    <m/>
    <s v=""/>
    <s v=""/>
    <n v="0"/>
    <n v="0"/>
    <s v=""/>
    <n v="0"/>
    <m/>
    <m/>
    <m/>
    <m/>
    <m/>
    <m/>
    <m/>
    <m/>
    <m/>
  </r>
  <r>
    <n v="94"/>
    <m/>
    <x v="1"/>
    <x v="1"/>
    <m/>
    <m/>
    <m/>
    <m/>
    <m/>
    <s v=""/>
    <s v=""/>
    <n v="0"/>
    <n v="0"/>
    <s v=""/>
    <n v="0"/>
    <m/>
    <m/>
    <m/>
    <m/>
    <m/>
    <m/>
    <m/>
    <m/>
    <m/>
  </r>
  <r>
    <n v="95"/>
    <m/>
    <x v="1"/>
    <x v="1"/>
    <m/>
    <m/>
    <m/>
    <m/>
    <m/>
    <s v=""/>
    <s v=""/>
    <n v="0"/>
    <n v="0"/>
    <s v=""/>
    <n v="0"/>
    <m/>
    <m/>
    <m/>
    <m/>
    <m/>
    <m/>
    <m/>
    <m/>
    <m/>
  </r>
  <r>
    <n v="96"/>
    <m/>
    <x v="1"/>
    <x v="1"/>
    <m/>
    <m/>
    <m/>
    <m/>
    <m/>
    <s v=""/>
    <s v=""/>
    <n v="0"/>
    <n v="0"/>
    <s v=""/>
    <n v="0"/>
    <m/>
    <m/>
    <m/>
    <m/>
    <m/>
    <m/>
    <m/>
    <m/>
    <m/>
  </r>
  <r>
    <n v="97"/>
    <m/>
    <x v="1"/>
    <x v="1"/>
    <m/>
    <m/>
    <m/>
    <m/>
    <m/>
    <s v=""/>
    <s v=""/>
    <n v="0"/>
    <n v="0"/>
    <s v=""/>
    <n v="0"/>
    <m/>
    <m/>
    <m/>
    <m/>
    <m/>
    <m/>
    <m/>
    <m/>
    <m/>
  </r>
  <r>
    <n v="98"/>
    <m/>
    <x v="1"/>
    <x v="1"/>
    <m/>
    <m/>
    <m/>
    <m/>
    <m/>
    <s v=""/>
    <s v=""/>
    <n v="0"/>
    <n v="0"/>
    <s v=""/>
    <n v="0"/>
    <m/>
    <m/>
    <m/>
    <m/>
    <m/>
    <m/>
    <m/>
    <m/>
    <m/>
  </r>
  <r>
    <n v="99"/>
    <m/>
    <x v="1"/>
    <x v="1"/>
    <m/>
    <m/>
    <m/>
    <m/>
    <m/>
    <s v=""/>
    <s v=""/>
    <n v="0"/>
    <n v="0"/>
    <s v=""/>
    <n v="0"/>
    <m/>
    <m/>
    <m/>
    <m/>
    <m/>
    <m/>
    <m/>
    <m/>
    <m/>
  </r>
  <r>
    <n v="100"/>
    <m/>
    <x v="1"/>
    <x v="1"/>
    <m/>
    <m/>
    <m/>
    <m/>
    <m/>
    <s v=""/>
    <s v=""/>
    <n v="0"/>
    <n v="0"/>
    <s v=""/>
    <n v="0"/>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7DAF03-E4F6-4B31-9667-7A9A084F3A09}" name="PivotTable1"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End Use">
  <location ref="B24:G27" firstHeaderRow="0" firstDataRow="1" firstDataCol="1"/>
  <pivotFields count="24">
    <pivotField showAll="0"/>
    <pivotField showAll="0"/>
    <pivotField axis="axisRow" showAll="0">
      <items count="5">
        <item m="1" x="2"/>
        <item m="1" x="3"/>
        <item x="1"/>
        <item x="0"/>
        <item t="default"/>
      </items>
    </pivotField>
    <pivotField showAll="0"/>
    <pivotField showAll="0"/>
    <pivotField dataField="1" showAll="0"/>
    <pivotField dataField="1" showAll="0"/>
    <pivotField dataField="1" showAll="0"/>
    <pivotField dataField="1" showAll="0"/>
    <pivotField showAll="0"/>
    <pivotField showAll="0"/>
    <pivotField numFmtId="166" showAll="0"/>
    <pivotField dataField="1" numFmtId="166" showAll="0"/>
    <pivotField showAll="0"/>
    <pivotField numFmtId="165" showAll="0"/>
    <pivotField showAll="0"/>
    <pivotField showAll="0"/>
    <pivotField showAll="0"/>
    <pivotField showAll="0"/>
    <pivotField showAll="0"/>
    <pivotField showAll="0"/>
    <pivotField showAll="0"/>
    <pivotField showAll="0"/>
    <pivotField showAll="0"/>
  </pivotFields>
  <rowFields count="1">
    <field x="2"/>
  </rowFields>
  <rowItems count="3">
    <i>
      <x v="2"/>
    </i>
    <i>
      <x v="3"/>
    </i>
    <i t="grand">
      <x/>
    </i>
  </rowItems>
  <colFields count="1">
    <field x="-2"/>
  </colFields>
  <colItems count="5">
    <i>
      <x/>
    </i>
    <i i="1">
      <x v="1"/>
    </i>
    <i i="2">
      <x v="2"/>
    </i>
    <i i="3">
      <x v="3"/>
    </i>
    <i i="4">
      <x v="4"/>
    </i>
  </colItems>
  <dataFields count="5">
    <dataField name="Monthly Demand Savings (kW)" fld="6" baseField="2" baseItem="0"/>
    <dataField name="Electricity Savings (kWh/yr)" fld="5" baseField="2" baseItem="0"/>
    <dataField name="Fuel Savings_x000a_(GJ/y)" fld="7" baseField="0" baseItem="0"/>
    <dataField name="Annual Cost Savings_x000a_($/y) " fld="12" baseField="0" baseItem="0"/>
    <dataField name="Implementation Cost  ($)" fld="8" baseField="0" baseItem="0"/>
  </dataFields>
  <formats count="7">
    <format dxfId="43">
      <pivotArea dataOnly="0" labelOnly="1" outline="0" fieldPosition="0">
        <references count="1">
          <reference field="4294967294" count="5">
            <x v="0"/>
            <x v="1"/>
            <x v="2"/>
            <x v="3"/>
            <x v="4"/>
          </reference>
        </references>
      </pivotArea>
    </format>
    <format dxfId="42">
      <pivotArea dataOnly="0" labelOnly="1" outline="0" fieldPosition="0">
        <references count="1">
          <reference field="4294967294" count="1">
            <x v="0"/>
          </reference>
        </references>
      </pivotArea>
    </format>
    <format dxfId="41">
      <pivotArea dataOnly="0" labelOnly="1" outline="0" fieldPosition="0">
        <references count="1">
          <reference field="4294967294" count="1">
            <x v="1"/>
          </reference>
        </references>
      </pivotArea>
    </format>
    <format dxfId="40">
      <pivotArea dataOnly="0" labelOnly="1" outline="0" fieldPosition="0">
        <references count="1">
          <reference field="4294967294" count="1">
            <x v="2"/>
          </reference>
        </references>
      </pivotArea>
    </format>
    <format dxfId="39">
      <pivotArea dataOnly="0" labelOnly="1" outline="0" fieldPosition="0">
        <references count="1">
          <reference field="4294967294" count="2">
            <x v="3"/>
            <x v="4"/>
          </reference>
        </references>
      </pivotArea>
    </format>
    <format dxfId="38">
      <pivotArea field="2" grandRow="1" outline="0" collapsedLevelsAreSubtotals="1" axis="axisRow" fieldPosition="0">
        <references count="1">
          <reference field="4294967294" count="3" selected="0">
            <x v="0"/>
            <x v="1"/>
            <x v="2"/>
          </reference>
        </references>
      </pivotArea>
    </format>
    <format dxfId="37">
      <pivotArea field="2" grandRow="1" outline="0" collapsedLevelsAreSubtotals="1" axis="axisRow" fieldPosition="0">
        <references count="1">
          <reference field="4294967294" count="2" selected="0">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71E082E3-192A-41E0-A08A-ED4F05016ED3}" name="PivotTable9"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2">
  <location ref="AQ1:AS18" firstHeaderRow="1" firstDataRow="1" firstDataCol="0"/>
  <pivotFields count="24">
    <pivotField showAll="0"/>
    <pivotField showAll="0"/>
    <pivotField showAll="0"/>
    <pivotField showAll="0"/>
    <pivotField showAll="0"/>
    <pivotField showAll="0"/>
    <pivotField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5A2A92BC-8A7B-40FF-93D2-0D84F9ECC03A}" name="PivotTable14"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1">
  <location ref="BA1:BB2" firstHeaderRow="0" firstDataRow="1" firstDataCol="0"/>
  <pivotFields count="24">
    <pivotField showAll="0"/>
    <pivotField showAll="0"/>
    <pivotField showAll="0"/>
    <pivotField showAll="0"/>
    <pivotField showAll="0"/>
    <pivotField showAll="0"/>
    <pivotField showAll="0"/>
    <pivotField showAll="0"/>
    <pivotField dataField="1" showAll="0"/>
    <pivotField showAll="0"/>
    <pivotField showAll="0"/>
    <pivotField numFmtId="166" showAll="0"/>
    <pivotField dataField="1" showAll="0"/>
    <pivotField showAll="0"/>
    <pivotField numFmtId="165" showAll="0"/>
    <pivotField showAll="0"/>
    <pivotField showAll="0"/>
    <pivotField showAll="0"/>
    <pivotField showAll="0"/>
    <pivotField showAll="0"/>
    <pivotField showAll="0"/>
    <pivotField showAll="0"/>
    <pivotField showAll="0"/>
    <pivotField showAll="0"/>
  </pivotFields>
  <rowItems count="1">
    <i/>
  </rowItems>
  <colFields count="1">
    <field x="-2"/>
  </colFields>
  <colItems count="2">
    <i>
      <x/>
    </i>
    <i i="1">
      <x v="1"/>
    </i>
  </colItems>
  <dataFields count="2">
    <dataField name="Sum of Annual Cost Savings" fld="12" baseField="3" baseItem="4"/>
    <dataField name="Sum of Implementation Cost estimate ($)"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6E0F6BBA-6BBB-48C6-BD14-B0D3E4431FDE}" name="PivotTable7"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2">
  <location ref="AK1:AK2" firstHeaderRow="1" firstDataRow="1" firstDataCol="1"/>
  <pivotFields count="24">
    <pivotField showAll="0"/>
    <pivotField showAll="0"/>
    <pivotField showAll="0"/>
    <pivotField axis="axisRow" showAll="0">
      <items count="13">
        <item m="1" x="2"/>
        <item m="1" x="5"/>
        <item m="1" x="8"/>
        <item m="1" x="9"/>
        <item m="1" x="10"/>
        <item m="1" x="3"/>
        <item m="1" x="6"/>
        <item m="1" x="11"/>
        <item h="1" x="1"/>
        <item h="1" m="1" x="4"/>
        <item h="1" m="1" x="7"/>
        <item h="1" x="0"/>
        <item t="default"/>
      </items>
    </pivotField>
    <pivotField showAll="0"/>
    <pivotField showAll="0"/>
    <pivotField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Fields count="1">
    <field x="3"/>
  </rowFields>
  <rowItems count="1">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C0BBE383-06F3-4017-B808-AB5EFA7ADCF4}" name="PivotTable4"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3">
  <location ref="G1:L4" firstHeaderRow="0" firstDataRow="1" firstDataCol="1"/>
  <pivotFields count="24">
    <pivotField showAll="0"/>
    <pivotField showAll="0"/>
    <pivotField axis="axisRow" showAll="0">
      <items count="5">
        <item m="1" x="2"/>
        <item m="1" x="3"/>
        <item x="1"/>
        <item x="0"/>
        <item t="default"/>
      </items>
    </pivotField>
    <pivotField showAll="0"/>
    <pivotField showAll="0"/>
    <pivotField dataField="1" showAll="0"/>
    <pivotField dataField="1" showAll="0"/>
    <pivotField dataField="1" showAll="0"/>
    <pivotField dataField="1" showAll="0"/>
    <pivotField showAll="0"/>
    <pivotField showAll="0"/>
    <pivotField numFmtId="166" showAll="0"/>
    <pivotField dataField="1" showAll="0"/>
    <pivotField showAll="0"/>
    <pivotField numFmtId="165" showAll="0"/>
    <pivotField showAll="0"/>
    <pivotField showAll="0"/>
    <pivotField showAll="0"/>
    <pivotField showAll="0"/>
    <pivotField showAll="0"/>
    <pivotField showAll="0"/>
    <pivotField showAll="0"/>
    <pivotField showAll="0"/>
    <pivotField showAll="0"/>
  </pivotFields>
  <rowFields count="1">
    <field x="2"/>
  </rowFields>
  <rowItems count="3">
    <i>
      <x v="2"/>
    </i>
    <i>
      <x v="3"/>
    </i>
    <i t="grand">
      <x/>
    </i>
  </rowItems>
  <colFields count="1">
    <field x="-2"/>
  </colFields>
  <colItems count="5">
    <i>
      <x/>
    </i>
    <i i="1">
      <x v="1"/>
    </i>
    <i i="2">
      <x v="2"/>
    </i>
    <i i="3">
      <x v="3"/>
    </i>
    <i i="4">
      <x v="4"/>
    </i>
  </colItems>
  <dataFields count="5">
    <dataField name="Sum of Customer Electricity Demand Savings_x000a_(kW/month)" fld="6" baseField="0" baseItem="0"/>
    <dataField name="Sum of Electricity Savings Estimate_x000a_(kWh/y)" fld="5" baseField="0" baseItem="0"/>
    <dataField name="Sum of Fuel Savings Estimate_x000a_(GJ/y)" fld="7" baseField="0" baseItem="0"/>
    <dataField name="Sum of Annual Cost Savings_x000a_Total_x000a_($/y) " fld="12" baseField="0" baseItem="0" numFmtId="44"/>
    <dataField name="Sum of Implementation Cost estimate ($)" fld="8" baseField="0" baseItem="0" numFmtId="44"/>
  </dataFields>
  <formats count="4">
    <format dxfId="36">
      <pivotArea outline="0" collapsedLevelsAreSubtotals="1" fieldPosition="0">
        <references count="1">
          <reference field="4294967294" count="1" selected="0">
            <x v="3"/>
          </reference>
        </references>
      </pivotArea>
    </format>
    <format dxfId="35">
      <pivotArea dataOnly="0" labelOnly="1" outline="0" fieldPosition="0">
        <references count="1">
          <reference field="4294967294" count="1">
            <x v="3"/>
          </reference>
        </references>
      </pivotArea>
    </format>
    <format dxfId="34">
      <pivotArea outline="0" collapsedLevelsAreSubtotals="1" fieldPosition="0">
        <references count="1">
          <reference field="4294967294" count="1" selected="0">
            <x v="4"/>
          </reference>
        </references>
      </pivotArea>
    </format>
    <format dxfId="33">
      <pivotArea dataOnly="0" labelOnly="1" outline="0" fieldPosition="0">
        <references count="1">
          <reference field="4294967294" count="1">
            <x v="4"/>
          </reference>
        </references>
      </pivotArea>
    </format>
  </formats>
  <chartFormats count="26">
    <chartFormat chart="2" format="17" series="1">
      <pivotArea type="data" outline="0" fieldPosition="0">
        <references count="1">
          <reference field="4294967294" count="1" selected="0">
            <x v="1"/>
          </reference>
        </references>
      </pivotArea>
    </chartFormat>
    <chartFormat chart="2" format="39">
      <pivotArea type="data" outline="0" fieldPosition="0">
        <references count="1">
          <reference field="4294967294" count="1" selected="0">
            <x v="1"/>
          </reference>
        </references>
      </pivotArea>
    </chartFormat>
    <chartFormat chart="2" format="43">
      <pivotArea type="data" outline="0" fieldPosition="0">
        <references count="2">
          <reference field="4294967294" count="1" selected="0">
            <x v="1"/>
          </reference>
          <reference field="2" count="1" selected="0">
            <x v="0"/>
          </reference>
        </references>
      </pivotArea>
    </chartFormat>
    <chartFormat chart="2" format="44">
      <pivotArea type="data" outline="0" fieldPosition="0">
        <references count="2">
          <reference field="4294967294" count="1" selected="0">
            <x v="1"/>
          </reference>
          <reference field="2" count="1" selected="0">
            <x v="1"/>
          </reference>
        </references>
      </pivotArea>
    </chartFormat>
    <chartFormat chart="2" format="45">
      <pivotArea type="data" outline="0" fieldPosition="0">
        <references count="2">
          <reference field="4294967294" count="1" selected="0">
            <x v="1"/>
          </reference>
          <reference field="2" count="1" selected="0">
            <x v="2"/>
          </reference>
        </references>
      </pivotArea>
    </chartFormat>
    <chartFormat chart="2" format="46" series="1">
      <pivotArea type="data" outline="0" fieldPosition="0">
        <references count="1">
          <reference field="4294967294" count="1" selected="0">
            <x v="2"/>
          </reference>
        </references>
      </pivotArea>
    </chartFormat>
    <chartFormat chart="2" format="47" series="1">
      <pivotArea type="data" outline="0" fieldPosition="0">
        <references count="1">
          <reference field="4294967294" count="1" selected="0">
            <x v="0"/>
          </reference>
        </references>
      </pivotArea>
    </chartFormat>
    <chartFormat chart="2" format="48" series="1">
      <pivotArea type="data" outline="0" fieldPosition="0">
        <references count="1">
          <reference field="4294967294" count="1" selected="0">
            <x v="3"/>
          </reference>
        </references>
      </pivotArea>
    </chartFormat>
    <chartFormat chart="2" format="49" series="1">
      <pivotArea type="data" outline="0" fieldPosition="0">
        <references count="1">
          <reference field="4294967294" count="1" selected="0">
            <x v="4"/>
          </reference>
        </references>
      </pivotArea>
    </chartFormat>
    <chartFormat chart="2" format="50">
      <pivotArea type="data" outline="0" fieldPosition="0">
        <references count="2">
          <reference field="4294967294" count="1" selected="0">
            <x v="0"/>
          </reference>
          <reference field="2" count="1" selected="0">
            <x v="0"/>
          </reference>
        </references>
      </pivotArea>
    </chartFormat>
    <chartFormat chart="2" format="51">
      <pivotArea type="data" outline="0" fieldPosition="0">
        <references count="2">
          <reference field="4294967294" count="1" selected="0">
            <x v="0"/>
          </reference>
          <reference field="2" count="1" selected="0">
            <x v="1"/>
          </reference>
        </references>
      </pivotArea>
    </chartFormat>
    <chartFormat chart="2" format="52">
      <pivotArea type="data" outline="0" fieldPosition="0">
        <references count="2">
          <reference field="4294967294" count="1" selected="0">
            <x v="0"/>
          </reference>
          <reference field="2" count="1" selected="0">
            <x v="2"/>
          </reference>
        </references>
      </pivotArea>
    </chartFormat>
    <chartFormat chart="2" format="53">
      <pivotArea type="data" outline="0" fieldPosition="0">
        <references count="2">
          <reference field="4294967294" count="1" selected="0">
            <x v="2"/>
          </reference>
          <reference field="2" count="1" selected="0">
            <x v="0"/>
          </reference>
        </references>
      </pivotArea>
    </chartFormat>
    <chartFormat chart="2" format="54">
      <pivotArea type="data" outline="0" fieldPosition="0">
        <references count="2">
          <reference field="4294967294" count="1" selected="0">
            <x v="2"/>
          </reference>
          <reference field="2" count="1" selected="0">
            <x v="1"/>
          </reference>
        </references>
      </pivotArea>
    </chartFormat>
    <chartFormat chart="2" format="55">
      <pivotArea type="data" outline="0" fieldPosition="0">
        <references count="2">
          <reference field="4294967294" count="1" selected="0">
            <x v="2"/>
          </reference>
          <reference field="2" count="1" selected="0">
            <x v="2"/>
          </reference>
        </references>
      </pivotArea>
    </chartFormat>
    <chartFormat chart="2" format="56">
      <pivotArea type="data" outline="0" fieldPosition="0">
        <references count="2">
          <reference field="4294967294" count="1" selected="0">
            <x v="3"/>
          </reference>
          <reference field="2" count="1" selected="0">
            <x v="0"/>
          </reference>
        </references>
      </pivotArea>
    </chartFormat>
    <chartFormat chart="2" format="57">
      <pivotArea type="data" outline="0" fieldPosition="0">
        <references count="2">
          <reference field="4294967294" count="1" selected="0">
            <x v="3"/>
          </reference>
          <reference field="2" count="1" selected="0">
            <x v="1"/>
          </reference>
        </references>
      </pivotArea>
    </chartFormat>
    <chartFormat chart="2" format="58">
      <pivotArea type="data" outline="0" fieldPosition="0">
        <references count="2">
          <reference field="4294967294" count="1" selected="0">
            <x v="3"/>
          </reference>
          <reference field="2" count="1" selected="0">
            <x v="2"/>
          </reference>
        </references>
      </pivotArea>
    </chartFormat>
    <chartFormat chart="2" format="59">
      <pivotArea type="data" outline="0" fieldPosition="0">
        <references count="2">
          <reference field="4294967294" count="1" selected="0">
            <x v="4"/>
          </reference>
          <reference field="2" count="1" selected="0">
            <x v="0"/>
          </reference>
        </references>
      </pivotArea>
    </chartFormat>
    <chartFormat chart="2" format="60">
      <pivotArea type="data" outline="0" fieldPosition="0">
        <references count="2">
          <reference field="4294967294" count="1" selected="0">
            <x v="4"/>
          </reference>
          <reference field="2" count="1" selected="0">
            <x v="1"/>
          </reference>
        </references>
      </pivotArea>
    </chartFormat>
    <chartFormat chart="2" format="61">
      <pivotArea type="data" outline="0" fieldPosition="0">
        <references count="2">
          <reference field="4294967294" count="1" selected="0">
            <x v="4"/>
          </reference>
          <reference field="2" count="1" selected="0">
            <x v="2"/>
          </reference>
        </references>
      </pivotArea>
    </chartFormat>
    <chartFormat chart="2" format="62">
      <pivotArea type="data" outline="0" fieldPosition="0">
        <references count="2">
          <reference field="4294967294" count="1" selected="0">
            <x v="0"/>
          </reference>
          <reference field="2" count="1" selected="0">
            <x v="3"/>
          </reference>
        </references>
      </pivotArea>
    </chartFormat>
    <chartFormat chart="2" format="63">
      <pivotArea type="data" outline="0" fieldPosition="0">
        <references count="2">
          <reference field="4294967294" count="1" selected="0">
            <x v="1"/>
          </reference>
          <reference field="2" count="1" selected="0">
            <x v="3"/>
          </reference>
        </references>
      </pivotArea>
    </chartFormat>
    <chartFormat chart="2" format="64">
      <pivotArea type="data" outline="0" fieldPosition="0">
        <references count="2">
          <reference field="4294967294" count="1" selected="0">
            <x v="2"/>
          </reference>
          <reference field="2" count="1" selected="0">
            <x v="3"/>
          </reference>
        </references>
      </pivotArea>
    </chartFormat>
    <chartFormat chart="2" format="65">
      <pivotArea type="data" outline="0" fieldPosition="0">
        <references count="2">
          <reference field="4294967294" count="1" selected="0">
            <x v="3"/>
          </reference>
          <reference field="2" count="1" selected="0">
            <x v="3"/>
          </reference>
        </references>
      </pivotArea>
    </chartFormat>
    <chartFormat chart="2" format="66">
      <pivotArea type="data" outline="0" fieldPosition="0">
        <references count="2">
          <reference field="4294967294" count="1" selected="0">
            <x v="4"/>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8F2C7456-54B6-4E0A-8D9B-6E7A026F5109}" name="PivotTable13"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1">
  <location ref="AW1:AY2" firstHeaderRow="0" firstDataRow="1" firstDataCol="1"/>
  <pivotFields count="24">
    <pivotField showAll="0"/>
    <pivotField showAll="0"/>
    <pivotField showAll="0"/>
    <pivotField axis="axisRow" showAll="0">
      <items count="13">
        <item m="1" x="2"/>
        <item m="1" x="5"/>
        <item m="1" x="8"/>
        <item m="1" x="9"/>
        <item m="1" x="10"/>
        <item m="1" x="3"/>
        <item m="1" x="6"/>
        <item m="1" x="11"/>
        <item h="1" x="1"/>
        <item h="1" m="1" x="4"/>
        <item h="1" m="1" x="7"/>
        <item h="1" x="0"/>
        <item t="default"/>
      </items>
    </pivotField>
    <pivotField showAll="0"/>
    <pivotField showAll="0"/>
    <pivotField showAll="0"/>
    <pivotField showAll="0"/>
    <pivotField dataField="1" showAll="0"/>
    <pivotField showAll="0"/>
    <pivotField showAll="0"/>
    <pivotField numFmtId="166" showAll="0"/>
    <pivotField dataField="1" showAll="0"/>
    <pivotField showAll="0"/>
    <pivotField numFmtId="165" showAll="0"/>
    <pivotField showAll="0"/>
    <pivotField showAll="0"/>
    <pivotField showAll="0"/>
    <pivotField showAll="0"/>
    <pivotField showAll="0"/>
    <pivotField showAll="0"/>
    <pivotField showAll="0"/>
    <pivotField showAll="0"/>
    <pivotField showAll="0"/>
  </pivotFields>
  <rowFields count="1">
    <field x="3"/>
  </rowFields>
  <rowItems count="1">
    <i t="grand">
      <x/>
    </i>
  </rowItems>
  <colFields count="1">
    <field x="-2"/>
  </colFields>
  <colItems count="2">
    <i>
      <x/>
    </i>
    <i i="1">
      <x v="1"/>
    </i>
  </colItems>
  <dataFields count="2">
    <dataField name="Sum of Annual Cost Savings" fld="12" baseField="3" baseItem="4"/>
    <dataField name="Sum of Implementation Cost estimate ($)"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4B81CDE2-F91D-46C6-B71B-1D0CAA18BA60}" name="PivotTable6"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9">
  <location ref="AA1:AB2" firstHeaderRow="1" firstDataRow="1" firstDataCol="1"/>
  <pivotFields count="24">
    <pivotField showAll="0"/>
    <pivotField showAll="0"/>
    <pivotField showAll="0"/>
    <pivotField axis="axisRow" showAll="0">
      <items count="13">
        <item m="1" x="2"/>
        <item m="1" x="5"/>
        <item m="1" x="8"/>
        <item m="1" x="9"/>
        <item m="1" x="10"/>
        <item m="1" x="3"/>
        <item m="1" x="6"/>
        <item m="1" x="11"/>
        <item h="1" x="1"/>
        <item h="1" m="1" x="4"/>
        <item h="1" m="1" x="7"/>
        <item h="1" x="0"/>
        <item t="default"/>
      </items>
    </pivotField>
    <pivotField showAll="0"/>
    <pivotField dataField="1" showAll="0"/>
    <pivotField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Fields count="1">
    <field x="3"/>
  </rowFields>
  <rowItems count="1">
    <i t="grand">
      <x/>
    </i>
  </rowItems>
  <colItems count="1">
    <i/>
  </colItems>
  <dataFields count="1">
    <dataField name="Sum of Electricity Savings Estimate_x000a_(kWh/y)" fld="5" baseField="0" baseItem="0"/>
  </dataFields>
  <chartFormats count="15">
    <chartFormat chart="0" format="0"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5" format="11" series="1">
      <pivotArea type="data" outline="0" fieldPosition="0">
        <references count="1">
          <reference field="4294967294" count="1" selected="0">
            <x v="0"/>
          </reference>
        </references>
      </pivotArea>
    </chartFormat>
    <chartFormat chart="8" format="11" series="1">
      <pivotArea type="data" outline="0" fieldPosition="0">
        <references count="1">
          <reference field="4294967294" count="1" selected="0">
            <x v="0"/>
          </reference>
        </references>
      </pivotArea>
    </chartFormat>
    <chartFormat chart="8" format="12">
      <pivotArea type="data" outline="0" fieldPosition="0">
        <references count="2">
          <reference field="4294967294" count="1" selected="0">
            <x v="0"/>
          </reference>
          <reference field="3" count="1" selected="0">
            <x v="0"/>
          </reference>
        </references>
      </pivotArea>
    </chartFormat>
    <chartFormat chart="8" format="13">
      <pivotArea type="data" outline="0" fieldPosition="0">
        <references count="2">
          <reference field="4294967294" count="1" selected="0">
            <x v="0"/>
          </reference>
          <reference field="3" count="1" selected="0">
            <x v="1"/>
          </reference>
        </references>
      </pivotArea>
    </chartFormat>
    <chartFormat chart="8" format="14">
      <pivotArea type="data" outline="0" fieldPosition="0">
        <references count="2">
          <reference field="4294967294" count="1" selected="0">
            <x v="0"/>
          </reference>
          <reference field="3" count="1" selected="0">
            <x v="2"/>
          </reference>
        </references>
      </pivotArea>
    </chartFormat>
    <chartFormat chart="8" format="15">
      <pivotArea type="data" outline="0" fieldPosition="0">
        <references count="2">
          <reference field="4294967294" count="1" selected="0">
            <x v="0"/>
          </reference>
          <reference field="3" count="1" selected="0">
            <x v="3"/>
          </reference>
        </references>
      </pivotArea>
    </chartFormat>
    <chartFormat chart="8" format="16">
      <pivotArea type="data" outline="0" fieldPosition="0">
        <references count="2">
          <reference field="4294967294" count="1" selected="0">
            <x v="0"/>
          </reference>
          <reference field="3" count="1" selected="0">
            <x v="4"/>
          </reference>
        </references>
      </pivotArea>
    </chartFormat>
    <chartFormat chart="8" format="17">
      <pivotArea type="data" outline="0" fieldPosition="0">
        <references count="2">
          <reference field="4294967294" count="1" selected="0">
            <x v="0"/>
          </reference>
          <reference field="3" count="1" selected="0">
            <x v="5"/>
          </reference>
        </references>
      </pivotArea>
    </chartFormat>
    <chartFormat chart="8" format="18">
      <pivotArea type="data" outline="0" fieldPosition="0">
        <references count="2">
          <reference field="4294967294" count="1" selected="0">
            <x v="0"/>
          </reference>
          <reference field="3" count="1" selected="0">
            <x v="6"/>
          </reference>
        </references>
      </pivotArea>
    </chartFormat>
    <chartFormat chart="8" format="19">
      <pivotArea type="data" outline="0" fieldPosition="0">
        <references count="2">
          <reference field="4294967294" count="1" selected="0">
            <x v="0"/>
          </reference>
          <reference field="3" count="1" selected="0">
            <x v="7"/>
          </reference>
        </references>
      </pivotArea>
    </chartFormat>
    <chartFormat chart="8" format="20">
      <pivotArea type="data" outline="0" fieldPosition="0">
        <references count="2">
          <reference field="4294967294" count="1" selected="0">
            <x v="0"/>
          </reference>
          <reference field="3" count="1" selected="0">
            <x v="8"/>
          </reference>
        </references>
      </pivotArea>
    </chartFormat>
    <chartFormat chart="8" format="2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1F632AD0-2831-4351-B4F5-04FA4B603EBB}" name="PivotTable11"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0">
  <location ref="V1:W2" firstHeaderRow="0" firstDataRow="1" firstDataCol="0"/>
  <pivotFields count="24">
    <pivotField showAll="0"/>
    <pivotField showAll="0"/>
    <pivotField showAll="0"/>
    <pivotField showAll="0"/>
    <pivotField showAll="0"/>
    <pivotField dataField="1" showAll="0"/>
    <pivotField dataField="1"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Items count="1">
    <i/>
  </rowItems>
  <colFields count="1">
    <field x="-2"/>
  </colFields>
  <colItems count="2">
    <i>
      <x/>
    </i>
    <i i="1">
      <x v="1"/>
    </i>
  </colItems>
  <dataFields count="2">
    <dataField name="Electricity Savings Estimate (kWh/y)" fld="5" baseField="0" baseItem="42140416"/>
    <dataField name="Customer Electricity Demand Savings (kW/mo)" fld="6" baseField="0" baseItem="42140416"/>
  </dataFields>
  <chartFormats count="6">
    <chartFormat chart="0" format="0"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9" format="4" series="1">
      <pivotArea type="data" outline="0" fieldPosition="0">
        <references count="1">
          <reference field="4294967294" count="1" selected="0">
            <x v="0"/>
          </reference>
        </references>
      </pivotArea>
    </chartFormat>
    <chartFormat chart="9"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85C13B-FBA1-4AD7-9B96-0CCD466E918B}" name="PivotTable2"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Initiative Type">
  <location ref="B34:G37" firstHeaderRow="0" firstDataRow="1" firstDataCol="1"/>
  <pivotFields count="24">
    <pivotField showAll="0"/>
    <pivotField showAll="0"/>
    <pivotField showAll="0"/>
    <pivotField axis="axisRow" showAll="0">
      <items count="13">
        <item m="1" x="2"/>
        <item m="1" x="5"/>
        <item m="1" x="4"/>
        <item m="1" x="8"/>
        <item m="1" x="7"/>
        <item m="1" x="9"/>
        <item m="1" x="10"/>
        <item m="1" x="3"/>
        <item m="1" x="6"/>
        <item m="1" x="11"/>
        <item x="1"/>
        <item x="0"/>
        <item t="default"/>
      </items>
    </pivotField>
    <pivotField showAll="0"/>
    <pivotField dataField="1" showAll="0"/>
    <pivotField dataField="1" showAll="0"/>
    <pivotField dataField="1" showAll="0"/>
    <pivotField dataField="1" showAll="0"/>
    <pivotField showAll="0"/>
    <pivotField showAll="0"/>
    <pivotField numFmtId="166" showAll="0"/>
    <pivotField dataField="1" numFmtId="166" showAll="0"/>
    <pivotField showAll="0"/>
    <pivotField numFmtId="165" showAll="0"/>
    <pivotField showAll="0"/>
    <pivotField showAll="0"/>
    <pivotField showAll="0"/>
    <pivotField showAll="0"/>
    <pivotField showAll="0"/>
    <pivotField showAll="0"/>
    <pivotField showAll="0"/>
    <pivotField showAll="0"/>
    <pivotField showAll="0"/>
  </pivotFields>
  <rowFields count="1">
    <field x="3"/>
  </rowFields>
  <rowItems count="3">
    <i>
      <x v="10"/>
    </i>
    <i>
      <x v="11"/>
    </i>
    <i t="grand">
      <x/>
    </i>
  </rowItems>
  <colFields count="1">
    <field x="-2"/>
  </colFields>
  <colItems count="5">
    <i>
      <x/>
    </i>
    <i i="1">
      <x v="1"/>
    </i>
    <i i="2">
      <x v="2"/>
    </i>
    <i i="3">
      <x v="3"/>
    </i>
    <i i="4">
      <x v="4"/>
    </i>
  </colItems>
  <dataFields count="5">
    <dataField name="Monthly Demand Savings (kW)" fld="6" baseField="3" baseItem="4" numFmtId="167"/>
    <dataField name="Electricity Savings (kWh/yr)" fld="5" baseField="0" baseItem="0" numFmtId="167"/>
    <dataField name="Fuel Savings_x000a_(GJ/y)" fld="7" baseField="0" baseItem="0" numFmtId="167"/>
    <dataField name="Annual Cost Savings_x000a_($/y) " fld="12" baseField="0" baseItem="0" numFmtId="166"/>
    <dataField name="Implementation Cost  ($)" fld="8" baseField="0" baseItem="0" numFmtId="166"/>
  </dataFields>
  <formats count="4">
    <format dxfId="47">
      <pivotArea field="3" type="button" dataOnly="0" labelOnly="1" outline="0" axis="axisRow" fieldPosition="0"/>
    </format>
    <format dxfId="46">
      <pivotArea dataOnly="0" labelOnly="1" outline="0" fieldPosition="0">
        <references count="1">
          <reference field="4294967294" count="5">
            <x v="0"/>
            <x v="1"/>
            <x v="2"/>
            <x v="3"/>
            <x v="4"/>
          </reference>
        </references>
      </pivotArea>
    </format>
    <format dxfId="45">
      <pivotArea outline="0" collapsedLevelsAreSubtotals="1" fieldPosition="0">
        <references count="1">
          <reference field="4294967294" count="3" selected="0">
            <x v="0"/>
            <x v="1"/>
            <x v="2"/>
          </reference>
        </references>
      </pivotArea>
    </format>
    <format dxfId="44">
      <pivotArea outline="0" collapsedLevelsAreSubtotals="1" fieldPosition="0">
        <references count="1">
          <reference field="4294967294" count="2" selected="0">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E607BD8-7DFC-46D8-9BE9-61AC1E5F798B}" name="PivotTable3"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6">
  <location ref="D3:D7" firstHeaderRow="1" firstDataRow="1" firstDataCol="1"/>
  <pivotFields count="9">
    <pivotField axis="axisRow" showAll="0">
      <items count="35">
        <item m="1" x="19"/>
        <item m="1" x="23"/>
        <item m="1" x="20"/>
        <item m="1" x="32"/>
        <item m="1" x="27"/>
        <item m="1" x="18"/>
        <item m="1" x="33"/>
        <item m="1" x="22"/>
        <item m="1" x="21"/>
        <item m="1" x="13"/>
        <item m="1" x="14"/>
        <item m="1" x="16"/>
        <item m="1" x="7"/>
        <item m="1" x="26"/>
        <item m="1" x="4"/>
        <item m="1" x="3"/>
        <item m="1" x="6"/>
        <item m="1" x="12"/>
        <item m="1" x="25"/>
        <item m="1" x="5"/>
        <item m="1" x="8"/>
        <item m="1" x="11"/>
        <item m="1" x="30"/>
        <item m="1" x="28"/>
        <item m="1" x="24"/>
        <item m="1" x="29"/>
        <item m="1" x="15"/>
        <item x="0"/>
        <item m="1" x="9"/>
        <item m="1" x="31"/>
        <item m="1" x="10"/>
        <item x="2"/>
        <item m="1" x="17"/>
        <item x="1"/>
        <item t="default"/>
      </items>
    </pivotField>
    <pivotField showAll="0"/>
    <pivotField showAll="0"/>
    <pivotField showAll="0"/>
    <pivotField showAll="0"/>
    <pivotField numFmtId="37" showAll="0"/>
    <pivotField numFmtId="37" showAll="0"/>
    <pivotField showAll="0"/>
    <pivotField showAll="0"/>
  </pivotFields>
  <rowFields count="1">
    <field x="0"/>
  </rowFields>
  <rowItems count="4">
    <i>
      <x v="27"/>
    </i>
    <i>
      <x v="31"/>
    </i>
    <i>
      <x v="3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4AB195F-B1F7-4F5A-942A-6B3E0A28B04A}" name="PivotTable2"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3">
  <location ref="A3:A7" firstHeaderRow="1" firstDataRow="1" firstDataCol="1"/>
  <pivotFields count="9">
    <pivotField axis="axisRow" showAll="0">
      <items count="35">
        <item m="1" x="19"/>
        <item m="1" x="23"/>
        <item m="1" x="20"/>
        <item m="1" x="32"/>
        <item m="1" x="27"/>
        <item m="1" x="18"/>
        <item m="1" x="33"/>
        <item m="1" x="22"/>
        <item m="1" x="21"/>
        <item m="1" x="13"/>
        <item m="1" x="14"/>
        <item m="1" x="16"/>
        <item m="1" x="7"/>
        <item m="1" x="26"/>
        <item m="1" x="4"/>
        <item m="1" x="3"/>
        <item m="1" x="6"/>
        <item m="1" x="12"/>
        <item m="1" x="25"/>
        <item m="1" x="5"/>
        <item m="1" x="8"/>
        <item m="1" x="11"/>
        <item m="1" x="30"/>
        <item m="1" x="28"/>
        <item m="1" x="24"/>
        <item m="1" x="29"/>
        <item m="1" x="15"/>
        <item x="0"/>
        <item m="1" x="9"/>
        <item m="1" x="31"/>
        <item m="1" x="10"/>
        <item x="2"/>
        <item m="1" x="17"/>
        <item x="1"/>
        <item t="default"/>
      </items>
    </pivotField>
    <pivotField showAll="0"/>
    <pivotField showAll="0"/>
    <pivotField showAll="0"/>
    <pivotField showAll="0"/>
    <pivotField numFmtId="37" showAll="0"/>
    <pivotField numFmtId="37" showAll="0"/>
    <pivotField showAll="0"/>
    <pivotField showAll="0"/>
  </pivotFields>
  <rowFields count="1">
    <field x="0"/>
  </rowFields>
  <rowItems count="4">
    <i>
      <x v="27"/>
    </i>
    <i>
      <x v="31"/>
    </i>
    <i>
      <x v="3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6A727A-BEB6-4863-9B27-8B4CC3E69DC8}" name="PivotTable15"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1">
  <location ref="BE1:BF2" firstHeaderRow="0" firstDataRow="1" firstDataCol="0"/>
  <pivotFields count="24">
    <pivotField showAll="0"/>
    <pivotField showAll="0"/>
    <pivotField showAll="0"/>
    <pivotField showAll="0"/>
    <pivotField showAll="0"/>
    <pivotField showAll="0"/>
    <pivotField showAll="0"/>
    <pivotField showAll="0"/>
    <pivotField dataField="1" showAll="0"/>
    <pivotField showAll="0"/>
    <pivotField showAll="0"/>
    <pivotField numFmtId="166" showAll="0"/>
    <pivotField dataField="1" showAll="0"/>
    <pivotField showAll="0"/>
    <pivotField numFmtId="165" showAll="0"/>
    <pivotField showAll="0"/>
    <pivotField showAll="0"/>
    <pivotField showAll="0"/>
    <pivotField showAll="0"/>
    <pivotField showAll="0"/>
    <pivotField showAll="0"/>
    <pivotField showAll="0"/>
    <pivotField showAll="0"/>
    <pivotField showAll="0"/>
  </pivotFields>
  <rowItems count="1">
    <i/>
  </rowItems>
  <colFields count="1">
    <field x="-2"/>
  </colFields>
  <colItems count="2">
    <i>
      <x/>
    </i>
    <i i="1">
      <x v="1"/>
    </i>
  </colItems>
  <dataFields count="2">
    <dataField name="Sum of Annual Cost Savings" fld="12" baseField="3" baseItem="4"/>
    <dataField name="Sum of Implementation Cost estimate ($)"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C1C56B5-F4E9-4F2F-ABF1-A2B944B0F4E5}" name="PivotTable10"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9">
  <location ref="N1:O2" firstHeaderRow="0" firstDataRow="1" firstDataCol="0"/>
  <pivotFields count="24">
    <pivotField showAll="0"/>
    <pivotField showAll="0"/>
    <pivotField showAll="0"/>
    <pivotField showAll="0"/>
    <pivotField showAll="0"/>
    <pivotField dataField="1" showAll="0"/>
    <pivotField dataField="1"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Items count="1">
    <i/>
  </rowItems>
  <colFields count="1">
    <field x="-2"/>
  </colFields>
  <colItems count="2">
    <i>
      <x/>
    </i>
    <i i="1">
      <x v="1"/>
    </i>
  </colItems>
  <dataFields count="2">
    <dataField name="Electricity Savings Estimate (kWh/y)" fld="5" baseField="0" baseItem="42140416"/>
    <dataField name="Customer Electricity Demand Savings (kW/mo)" fld="6" baseField="0" baseItem="42140416"/>
  </dataFields>
  <chartFormats count="4">
    <chartFormat chart="0" format="0"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0"/>
          </reference>
        </references>
      </pivotArea>
    </chartFormat>
    <chartFormat chart="8" format="4" series="1">
      <pivotArea type="data" outline="0" fieldPosition="0">
        <references count="1">
          <reference field="4294967294" count="1" selected="0">
            <x v="0"/>
          </reference>
        </references>
      </pivotArea>
    </chartFormat>
    <chartFormat chart="8"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A7F9FEA-B5FE-4593-8A2A-FC38D3A20BB3}" name="PivotTable5"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6">
  <location ref="S1:S2" firstHeaderRow="1" firstDataRow="1" firstDataCol="0"/>
  <pivotFields count="24">
    <pivotField showAll="0"/>
    <pivotField showAll="0"/>
    <pivotField showAll="0"/>
    <pivotField showAll="0"/>
    <pivotField showAll="0"/>
    <pivotField dataField="1" showAll="0"/>
    <pivotField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Sum of Electricity Savings Estimate_x000a_(kWh/y)" fld="5" baseField="0" baseItem="0"/>
  </dataFields>
  <chartFormats count="4">
    <chartFormat chart="0" format="0"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0"/>
          </reference>
        </references>
      </pivotArea>
    </chartFormat>
    <chartFormat chart="5" format="11" series="1">
      <pivotArea type="data" outline="0" fieldPosition="0">
        <references count="1">
          <reference field="4294967294" count="1" selected="0">
            <x v="0"/>
          </reference>
        </references>
      </pivotArea>
    </chartFormat>
    <chartFormat chart="5" format="30">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990E5FD-B023-40BA-A46E-E3912DC2C20C}" name="PivotTable8"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2">
  <location ref="AN1:AN3" firstHeaderRow="1" firstDataRow="1" firstDataCol="1"/>
  <pivotFields count="24">
    <pivotField showAll="0"/>
    <pivotField showAll="0"/>
    <pivotField showAll="0"/>
    <pivotField axis="axisRow" showAll="0">
      <items count="13">
        <item m="1" x="2"/>
        <item m="1" x="5"/>
        <item m="1" x="8"/>
        <item m="1" x="9"/>
        <item m="1" x="10"/>
        <item m="1" x="3"/>
        <item m="1" x="6"/>
        <item m="1" x="11"/>
        <item x="1"/>
        <item m="1" x="4"/>
        <item m="1" x="7"/>
        <item x="0"/>
        <item t="default"/>
      </items>
    </pivotField>
    <pivotField showAll="0"/>
    <pivotField showAll="0"/>
    <pivotField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Fields count="1">
    <field x="3"/>
  </rowFields>
  <rowItems count="2">
    <i>
      <x v="11"/>
    </i>
    <i t="grand">
      <x/>
    </i>
  </rowItems>
  <colItems count="1">
    <i/>
  </colItems>
  <pivotTableStyleInfo name="PivotStyleLight16" showRowHeaders="1" showColHeaders="1" showRowStripes="0" showColStripes="0" showLastColumn="1"/>
  <filters count="1">
    <filter fld="3" type="captionNotEqual"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B6682C69-327E-4B05-B723-8184054241F9}" name="PivotTable12"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chartFormat="11">
  <location ref="AF1:AH2" firstHeaderRow="0" firstDataRow="1" firstDataCol="1"/>
  <pivotFields count="24">
    <pivotField showAll="0"/>
    <pivotField showAll="0"/>
    <pivotField showAll="0"/>
    <pivotField axis="axisRow" showAll="0">
      <items count="13">
        <item m="1" x="2"/>
        <item m="1" x="5"/>
        <item m="1" x="8"/>
        <item m="1" x="9"/>
        <item m="1" x="10"/>
        <item m="1" x="3"/>
        <item m="1" x="6"/>
        <item m="1" x="11"/>
        <item h="1" x="1"/>
        <item h="1" m="1" x="4"/>
        <item h="1" m="1" x="7"/>
        <item h="1" x="0"/>
        <item t="default"/>
      </items>
    </pivotField>
    <pivotField showAll="0"/>
    <pivotField dataField="1" showAll="0"/>
    <pivotField dataField="1" showAll="0"/>
    <pivotField showAll="0"/>
    <pivotField showAll="0"/>
    <pivotField showAll="0"/>
    <pivotField showAll="0"/>
    <pivotField numFmtId="166" showAll="0"/>
    <pivotField showAll="0"/>
    <pivotField showAll="0"/>
    <pivotField numFmtId="165" showAll="0"/>
    <pivotField showAll="0"/>
    <pivotField showAll="0"/>
    <pivotField showAll="0"/>
    <pivotField showAll="0"/>
    <pivotField showAll="0"/>
    <pivotField showAll="0"/>
    <pivotField showAll="0"/>
    <pivotField showAll="0"/>
    <pivotField showAll="0"/>
  </pivotFields>
  <rowFields count="1">
    <field x="3"/>
  </rowFields>
  <rowItems count="1">
    <i t="grand">
      <x/>
    </i>
  </rowItems>
  <colFields count="1">
    <field x="-2"/>
  </colFields>
  <colItems count="2">
    <i>
      <x/>
    </i>
    <i i="1">
      <x v="1"/>
    </i>
  </colItems>
  <dataFields count="2">
    <dataField name="Electricity Savings Estimate (kWh/y)" fld="5" baseField="0" baseItem="42140416"/>
    <dataField name="Customer Electricity Demand Savings (kW/mo)" fld="6" baseField="0" baseItem="42140416"/>
  </dataFields>
  <chartFormats count="8">
    <chartFormat chart="0" format="0"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10" format="4" series="1">
      <pivotArea type="data" outline="0" fieldPosition="0">
        <references count="1">
          <reference field="4294967294" count="1" selected="0">
            <x v="0"/>
          </reference>
        </references>
      </pivotArea>
    </chartFormat>
    <chartFormat chart="10"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D7345E-52E0-408E-95A1-8F8EC7608803}" name="Table3" displayName="Table3" ref="C12:T32" totalsRowShown="0" headerRowDxfId="70" dataDxfId="68" headerRowBorderDxfId="69" tableBorderDxfId="67" totalsRowBorderDxfId="66">
  <tableColumns count="18">
    <tableColumn id="1" xr3:uid="{E5DF08D8-4B2B-48A9-9C45-338EE5C6CEE3}" name="No." dataDxfId="65"/>
    <tableColumn id="2" xr3:uid="{D6BC1B49-1AAB-443E-91B2-8A7AEC94F3B1}" name="Initiative Type " dataDxfId="64"/>
    <tableColumn id="24" xr3:uid="{D57C846C-2100-4831-AB86-3CC0970E69B0}" name="End Use" dataDxfId="63"/>
    <tableColumn id="14" xr3:uid="{930B98C2-9FEC-4EB1-914A-05DF8F328DD0}" name="Opportunity Description" dataDxfId="62"/>
    <tableColumn id="7" xr3:uid="{8428782C-DCD9-40B0-925D-C8E30DE40CAC}" name="Energy Measure" dataDxfId="61"/>
    <tableColumn id="3" xr3:uid="{B48F991E-FBD0-4FEA-B14B-BD1DEBEE4969}" name="Measure Type" dataDxfId="60">
      <calculatedColumnFormula>IF(ISBLANK(Table3[[#This Row],[End Use]]),"",IF((Table3[[#This Row],[Initiative Type ]]="Solar and Battery"),"Solar and Battery",IF(Table3[[#This Row],[End Use]]="LCE - Transportation (EV Charging)","EV Charging",IF(Table3[[#This Row],[Prescriptive]],IF(Table3[[#This Row],[Energy Measure]]="Others","Custom Project","Rebate"),"Custom Project"))))</calculatedColumnFormula>
    </tableColumn>
    <tableColumn id="4" xr3:uid="{4296BB40-2AEF-48B5-8EDE-B49850BDD222}" name="Electricity Savings Estimate_x000a_(kWh/y)" dataDxfId="59"/>
    <tableColumn id="26" xr3:uid="{8E831A05-4BBF-4E15-97E3-3E9C2F0ECD3E}" name="Fuel Savings Estimate_x000a_(GJ/y)" dataDxfId="58"/>
    <tableColumn id="11" xr3:uid="{292DCE17-89A4-4945-BDAB-DCB4EBFE12AE}" name="Baseline Cost Estimate ($)" dataDxfId="57"/>
    <tableColumn id="19" xr3:uid="{0210D0A2-9136-414F-BDB2-3C4D60D48D08}" name="Implementation Cost Estimate ($)" dataDxfId="56" dataCellStyle="Currency"/>
    <tableColumn id="6" xr3:uid="{61D174F1-7CAC-4A3A-BF0D-859F1A29D735}" name="Annual Electricity Cost Savings_x000a_($/y) " dataDxfId="55" dataCellStyle="Currency">
      <calculatedColumnFormula>IF(OR($P$4="",I13=""),"",$P$4*I13)</calculatedColumnFormula>
    </tableColumn>
    <tableColumn id="28" xr3:uid="{3249A2C0-2FDD-4A7D-97E1-0235CFCC2383}" name="Annual Fuel Cost Savings ($/y)" dataDxfId="54" dataCellStyle="Currency">
      <calculatedColumnFormula>+IF(Table3[[#This Row],[Fuel Savings Estimate
(GJ/y)]]="","",Table3[[#This Row],[Fuel Savings Estimate
(GJ/y)]]*(IF('Basic Info'!$G$41="",'Basic Info'!$G$40/'Basic Info'!$G$38,'Basic Info'!$G$41)))</calculatedColumnFormula>
    </tableColumn>
    <tableColumn id="16" xr3:uid="{26D7A1AC-B190-4EC0-8F29-610B43B6CD64}" name="Annual Cost Savings_x000a_Total_x000a_($/y) " dataDxfId="53" dataCellStyle="Currency">
      <calculatedColumnFormula>SUM(Table3[[#This Row],[Annual Electricity Cost Savings
($/y) ]:[Annual Fuel Cost Savings ($/y)]])</calculatedColumnFormula>
    </tableColumn>
    <tableColumn id="25" xr3:uid="{B65B0D94-471B-45FB-979C-E2BD2EBA02DB}" name="GHG Savings (tCO2e/y)" dataDxfId="52">
      <calculatedColumnFormula>(IF('Basic Info'!$G$37=Variables!$S$2,Variables!$T$2,IF('Basic Info'!$G$37=Variables!$S$3,Variables!$T$3,IF('Basic Info'!$G$37=Variables!$S$4,Variables!$T$4,IF('Basic Info'!$G$37=Variables!$S$5,Variables!$T$5))))*Table3[[#This Row],[Fuel Savings Estimate
(GJ/y)]])+(Table3[[#This Row],[Electricity Savings Estimate
(kWh/y)]]*Variables!$T$10)</calculatedColumnFormula>
    </tableColumn>
    <tableColumn id="15" xr3:uid="{96B95B13-D64E-401F-8732-F7723496BF33}" name="Priority" dataDxfId="51"/>
    <tableColumn id="12" xr3:uid="{9A9F87EA-9198-4DBF-8FF1-8C5ED4F9F406}" name="Recommended Next Steps" dataDxfId="50"/>
    <tableColumn id="5" xr3:uid="{5A45B983-C9D7-4410-8D86-FC43932876BC}" name="Notes:" dataDxfId="49"/>
    <tableColumn id="8" xr3:uid="{492BB209-3839-42EC-98BC-DCACE3245BC6}" name="Prescriptive" dataDxfId="48">
      <calculatedColumnFormula>SIGN(COUNTIF(Prescriptive[#Headers],Table3[[#This Row],[End Use]]))</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Variables" displayName="Variables" ref="A1:V48" totalsRowShown="0" headerRowDxfId="32" dataDxfId="31">
  <autoFilter ref="A1:V48" xr:uid="{00000000-0009-0000-0100-00000A000000}"/>
  <tableColumns count="22">
    <tableColumn id="2" xr3:uid="{00000000-0010-0000-0100-000002000000}" name="Category" dataDxfId="30"/>
    <tableColumn id="3" xr3:uid="{00000000-0010-0000-0100-000003000000}" name="Priority" dataDxfId="29"/>
    <tableColumn id="4" xr3:uid="{00000000-0010-0000-0100-000004000000}" name="Status" dataDxfId="28"/>
    <tableColumn id="17" xr3:uid="{0A695359-33EC-459A-914B-4FECF99EEFC4}" name="Pulp and Paper Systems" dataDxfId="27"/>
    <tableColumn id="6" xr3:uid="{00000000-0010-0000-0100-000006000000}" name="Industrial" dataDxfId="26"/>
    <tableColumn id="18" xr3:uid="{3D981079-6BCD-4697-A799-E1CF4625ED7A}" name="Paper Produce End Uses" dataDxfId="25"/>
    <tableColumn id="1" xr3:uid="{05637FE2-1A8C-410F-B876-DAE68DDBD23E}" name="Commercial" dataDxfId="24"/>
    <tableColumn id="7" xr3:uid="{00000000-0010-0000-0100-000007000000}" name="DSM Type" dataDxfId="23"/>
    <tableColumn id="8" xr3:uid="{00000000-0010-0000-0100-000008000000}" name="Numbers" dataDxfId="22"/>
    <tableColumn id="5" xr3:uid="{22FF031D-B57A-4580-8070-77252E150E7B}" name="Service" dataDxfId="21"/>
    <tableColumn id="9" xr3:uid="{797616A2-C683-4B93-8F8F-D0E595A9CD86}" name="Rate" dataDxfId="20"/>
    <tableColumn id="10" xr3:uid="{056824D9-C193-4A0C-AC4C-C9F46AA1A12F}" name="cost/kWh" dataDxfId="19"/>
    <tableColumn id="11" xr3:uid="{A7882096-E99D-469B-A4F0-18953D6F8C03}" name="Rate2" dataDxfId="18"/>
    <tableColumn id="12" xr3:uid="{D1EE8E73-63F5-43F6-A3BD-26A30E35A104}" name="Cost/KW" dataDxfId="17"/>
    <tableColumn id="13" xr3:uid="{ADF6CEB5-1B2D-46B0-A87E-5C1283A66858}" name="Energy System in Use" dataDxfId="16"/>
    <tableColumn id="14" xr3:uid="{71F83EE6-D034-46F3-B3BE-A93EDA15A95A}" name="Industry Type" dataDxfId="15"/>
    <tableColumn id="15" xr3:uid="{EC7C010A-98AC-4462-8389-370AFEFBAD66}" name="Building Type" dataDxfId="14"/>
    <tableColumn id="16" xr3:uid="{6ECB13DA-779C-4CAA-BE4A-DBAB0DA5E1B7}" name="Audit Scope" dataDxfId="13"/>
    <tableColumn id="19" xr3:uid="{320B1F63-30DB-4748-9749-AC756E8E9B92}" name="Fuel Type" dataDxfId="12"/>
    <tableColumn id="20" xr3:uid="{CC775AD4-B06E-45FF-8758-D956DF5FA4CC}" name="GHG Emission Factor (tCO2)" dataDxfId="11">
      <calculatedColumnFormula>11.5/1000000</calculatedColumnFormula>
    </tableColumn>
    <tableColumn id="22" xr3:uid="{8585CA94-1F80-458C-9F3A-9042446AA2B6}" name="Conversion" dataDxfId="10"/>
    <tableColumn id="21" xr3:uid="{C56ED5C5-2274-4A98-A45A-AE9C0E32B1DB}" name="Column1" dataDxfId="9"/>
  </tableColumns>
  <tableStyleInfo name="TableStyleMedium1" showFirstColumn="0" showLastColumn="0" showRowStripes="0"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4B035-006D-4BBE-8544-2A1D22E60193}" name="NextSteps" displayName="NextSteps" ref="AC36:AF41" totalsRowShown="0" headerRowDxfId="8">
  <autoFilter ref="AC36:AF41" xr:uid="{EEF4B035-006D-4BBE-8544-2A1D22E60193}"/>
  <tableColumns count="4">
    <tableColumn id="1" xr3:uid="{F8E8FFEC-404E-4607-8775-DBE83DE9A482}" name="Rebate" dataDxfId="7"/>
    <tableColumn id="2" xr3:uid="{AE0B233A-5099-4053-9E8E-9816A7A4644F}" name="Custom Project"/>
    <tableColumn id="3" xr3:uid="{4CE34512-16CA-4546-80A3-826F28815456}" name="Solar and Battery"/>
    <tableColumn id="4" xr3:uid="{932D68D1-C33B-4367-B548-BFACE3536B6B}" name="EV charging"/>
  </tableColumns>
  <tableStyleInfo name="Opp_Reg"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DEA351-4E0A-47FD-B34A-B0203753C23B}" name="Prescriptive" displayName="Prescriptive" ref="B2:G19" totalsRowShown="0" tableBorderDxfId="6">
  <autoFilter ref="B2:G19" xr:uid="{EFDEA351-4E0A-47FD-B34A-B0203753C23B}"/>
  <tableColumns count="6">
    <tableColumn id="1" xr3:uid="{2CD16D90-6F2A-499E-A107-F9AEE9922695}" name="Domestic Hot Water" dataDxfId="5" dataCellStyle="Normal 3"/>
    <tableColumn id="2" xr3:uid="{9F95CFC4-2D77-43A3-A696-E0A6FEA065B8}" name="Building Envelope" dataDxfId="4" dataCellStyle="Normal 3"/>
    <tableColumn id="3" xr3:uid="{8C23D0AB-D73B-407C-BB8D-4FAD66507280}" name="HVAC" dataDxfId="3" dataCellStyle="Normal 3"/>
    <tableColumn id="9" xr3:uid="{7BF0EBF4-4444-44AB-ACFE-419CBB7B4646}" name="Rebate Lighting" dataDxfId="2" dataCellStyle="Normal 3"/>
    <tableColumn id="6" xr3:uid="{DE26A4E0-FC91-43E0-9F55-B48E5EBB16A9}" name="LCE - Domestic Hot Water " dataDxfId="1"/>
    <tableColumn id="7" xr3:uid="{16BD1737-2240-4AF4-BE3C-175E44DE2EC7}" name="LCE - HVAC" dataDxfId="0"/>
  </tableColumns>
  <tableStyleInfo name="Opp_Reg"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bchydro.com/accounts-billing/rates-energy-use/access-load-data/request.html"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pivotTable" Target="../pivotTables/pivotTable10.xml"/><Relationship Id="rId13" Type="http://schemas.openxmlformats.org/officeDocument/2006/relationships/pivotTable" Target="../pivotTables/pivotTable15.xml"/><Relationship Id="rId3" Type="http://schemas.openxmlformats.org/officeDocument/2006/relationships/pivotTable" Target="../pivotTables/pivotTable5.xml"/><Relationship Id="rId7" Type="http://schemas.openxmlformats.org/officeDocument/2006/relationships/pivotTable" Target="../pivotTables/pivotTable9.xml"/><Relationship Id="rId12" Type="http://schemas.openxmlformats.org/officeDocument/2006/relationships/pivotTable" Target="../pivotTables/pivotTable14.xml"/><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openxmlformats.org/officeDocument/2006/relationships/pivotTable" Target="../pivotTables/pivotTable8.xml"/><Relationship Id="rId11" Type="http://schemas.openxmlformats.org/officeDocument/2006/relationships/pivotTable" Target="../pivotTables/pivotTable13.xml"/><Relationship Id="rId5" Type="http://schemas.openxmlformats.org/officeDocument/2006/relationships/pivotTable" Target="../pivotTables/pivotTable7.xml"/><Relationship Id="rId10" Type="http://schemas.openxmlformats.org/officeDocument/2006/relationships/pivotTable" Target="../pivotTables/pivotTable12.xml"/><Relationship Id="rId4" Type="http://schemas.openxmlformats.org/officeDocument/2006/relationships/pivotTable" Target="../pivotTables/pivotTable6.xml"/><Relationship Id="rId9" Type="http://schemas.openxmlformats.org/officeDocument/2006/relationships/pivotTable" Target="../pivotTables/pivotTable11.xml"/><Relationship Id="rId14" Type="http://schemas.openxmlformats.org/officeDocument/2006/relationships/pivotTable" Target="../pivotTables/pivot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1B0FF-FDF1-424D-AF0F-4F74F95D6A0D}">
  <sheetPr codeName="Sheet1"/>
  <dimension ref="A1:S78"/>
  <sheetViews>
    <sheetView showGridLines="0" tabSelected="1" zoomScaleNormal="100" workbookViewId="0">
      <selection activeCell="C11" sqref="C11:Q11"/>
    </sheetView>
  </sheetViews>
  <sheetFormatPr defaultColWidth="0" defaultRowHeight="14" zeroHeight="1" x14ac:dyDescent="0.3"/>
  <cols>
    <col min="1" max="1" width="8.7265625" style="4" customWidth="1"/>
    <col min="2" max="2" width="2" style="4" customWidth="1"/>
    <col min="3" max="5" width="8.7265625" style="4" customWidth="1"/>
    <col min="6" max="6" width="10.26953125" style="4" customWidth="1"/>
    <col min="7" max="7" width="8.7265625" style="4" customWidth="1"/>
    <col min="8" max="8" width="10" style="4" customWidth="1"/>
    <col min="9" max="9" width="10.81640625" style="4" customWidth="1"/>
    <col min="10" max="16" width="8.7265625" style="4" customWidth="1"/>
    <col min="17" max="17" width="12.81640625" style="4" customWidth="1"/>
    <col min="18" max="18" width="5.54296875" style="4" customWidth="1"/>
    <col min="19" max="19" width="8.7265625" style="4" customWidth="1"/>
    <col min="20" max="16384" width="8.7265625" style="4" hidden="1"/>
  </cols>
  <sheetData>
    <row r="1" spans="2:18" ht="17.149999999999999" customHeight="1" x14ac:dyDescent="0.3"/>
    <row r="2" spans="2:18" ht="12.65" customHeight="1" x14ac:dyDescent="0.3">
      <c r="B2" s="24"/>
      <c r="C2" s="25"/>
      <c r="D2" s="25"/>
      <c r="E2" s="25"/>
      <c r="F2" s="25"/>
      <c r="G2" s="25"/>
      <c r="H2" s="25"/>
      <c r="I2" s="25"/>
      <c r="J2" s="25"/>
      <c r="K2" s="25"/>
      <c r="L2" s="25"/>
      <c r="M2" s="25"/>
      <c r="N2" s="25"/>
      <c r="O2" s="25"/>
      <c r="P2" s="25"/>
      <c r="Q2" s="25"/>
      <c r="R2" s="26"/>
    </row>
    <row r="3" spans="2:18" ht="14.15" customHeight="1" x14ac:dyDescent="0.3">
      <c r="B3" s="27"/>
      <c r="C3" s="297" t="s">
        <v>757</v>
      </c>
      <c r="D3" s="298"/>
      <c r="E3" s="298"/>
      <c r="F3" s="298"/>
      <c r="G3" s="298"/>
      <c r="H3" s="298"/>
      <c r="I3" s="298"/>
      <c r="J3" s="298"/>
      <c r="K3" s="298"/>
      <c r="L3" s="298"/>
      <c r="M3" s="298"/>
      <c r="N3" s="298"/>
      <c r="O3" s="298"/>
      <c r="P3" s="298"/>
      <c r="Q3" s="299"/>
      <c r="R3" s="28"/>
    </row>
    <row r="4" spans="2:18" ht="14.15" customHeight="1" x14ac:dyDescent="0.3">
      <c r="B4" s="27"/>
      <c r="C4" s="300"/>
      <c r="D4" s="301"/>
      <c r="E4" s="301"/>
      <c r="F4" s="301"/>
      <c r="G4" s="301"/>
      <c r="H4" s="301"/>
      <c r="I4" s="301"/>
      <c r="J4" s="301"/>
      <c r="K4" s="301"/>
      <c r="L4" s="301"/>
      <c r="M4" s="301"/>
      <c r="N4" s="301"/>
      <c r="O4" s="301"/>
      <c r="P4" s="301"/>
      <c r="Q4" s="302"/>
      <c r="R4" s="28"/>
    </row>
    <row r="5" spans="2:18" ht="14.15" customHeight="1" x14ac:dyDescent="0.3">
      <c r="B5" s="27"/>
      <c r="C5" s="300"/>
      <c r="D5" s="301"/>
      <c r="E5" s="301"/>
      <c r="F5" s="301"/>
      <c r="G5" s="301"/>
      <c r="H5" s="301"/>
      <c r="I5" s="301"/>
      <c r="J5" s="301"/>
      <c r="K5" s="301"/>
      <c r="L5" s="301"/>
      <c r="M5" s="301"/>
      <c r="N5" s="301"/>
      <c r="O5" s="301"/>
      <c r="P5" s="301"/>
      <c r="Q5" s="302"/>
      <c r="R5" s="28"/>
    </row>
    <row r="6" spans="2:18" ht="14.15" customHeight="1" x14ac:dyDescent="0.3">
      <c r="B6" s="27"/>
      <c r="C6" s="300"/>
      <c r="D6" s="301"/>
      <c r="E6" s="301"/>
      <c r="F6" s="301"/>
      <c r="G6" s="301"/>
      <c r="H6" s="301"/>
      <c r="I6" s="301"/>
      <c r="J6" s="301"/>
      <c r="K6" s="301"/>
      <c r="L6" s="301"/>
      <c r="M6" s="301"/>
      <c r="N6" s="301"/>
      <c r="O6" s="301"/>
      <c r="P6" s="301"/>
      <c r="Q6" s="302"/>
      <c r="R6" s="28"/>
    </row>
    <row r="7" spans="2:18" ht="14.15" customHeight="1" x14ac:dyDescent="0.3">
      <c r="B7" s="27"/>
      <c r="C7" s="300"/>
      <c r="D7" s="301"/>
      <c r="E7" s="301"/>
      <c r="F7" s="301"/>
      <c r="G7" s="301"/>
      <c r="H7" s="301"/>
      <c r="I7" s="301"/>
      <c r="J7" s="301"/>
      <c r="K7" s="301"/>
      <c r="L7" s="301"/>
      <c r="M7" s="301"/>
      <c r="N7" s="301"/>
      <c r="O7" s="301"/>
      <c r="P7" s="301"/>
      <c r="Q7" s="302"/>
      <c r="R7" s="28"/>
    </row>
    <row r="8" spans="2:18" ht="14.15" customHeight="1" x14ac:dyDescent="0.3">
      <c r="B8" s="27"/>
      <c r="C8" s="300"/>
      <c r="D8" s="301"/>
      <c r="E8" s="301"/>
      <c r="F8" s="301"/>
      <c r="G8" s="301"/>
      <c r="H8" s="301"/>
      <c r="I8" s="301"/>
      <c r="J8" s="301"/>
      <c r="K8" s="301"/>
      <c r="L8" s="301"/>
      <c r="M8" s="301"/>
      <c r="N8" s="301"/>
      <c r="O8" s="301"/>
      <c r="P8" s="301"/>
      <c r="Q8" s="302"/>
      <c r="R8" s="28"/>
    </row>
    <row r="9" spans="2:18" ht="14.15" customHeight="1" x14ac:dyDescent="0.3">
      <c r="B9" s="27"/>
      <c r="C9" s="300"/>
      <c r="D9" s="301"/>
      <c r="E9" s="301"/>
      <c r="F9" s="301"/>
      <c r="G9" s="301"/>
      <c r="H9" s="301"/>
      <c r="I9" s="301"/>
      <c r="J9" s="301"/>
      <c r="K9" s="301"/>
      <c r="L9" s="301"/>
      <c r="M9" s="301"/>
      <c r="N9" s="301"/>
      <c r="O9" s="301"/>
      <c r="P9" s="301"/>
      <c r="Q9" s="302"/>
      <c r="R9" s="28"/>
    </row>
    <row r="10" spans="2:18" ht="25.15" customHeight="1" x14ac:dyDescent="0.3">
      <c r="B10" s="27"/>
      <c r="C10" s="303"/>
      <c r="D10" s="304"/>
      <c r="E10" s="304"/>
      <c r="F10" s="304"/>
      <c r="G10" s="304"/>
      <c r="H10" s="304"/>
      <c r="I10" s="304"/>
      <c r="J10" s="304"/>
      <c r="K10" s="304"/>
      <c r="L10" s="304"/>
      <c r="M10" s="304"/>
      <c r="N10" s="304"/>
      <c r="O10" s="304"/>
      <c r="P10" s="304"/>
      <c r="Q10" s="305"/>
      <c r="R10" s="28"/>
    </row>
    <row r="11" spans="2:18" ht="25.15" customHeight="1" x14ac:dyDescent="0.5">
      <c r="B11" s="27"/>
      <c r="C11" s="306" t="s">
        <v>783</v>
      </c>
      <c r="D11" s="307"/>
      <c r="E11" s="307"/>
      <c r="F11" s="307"/>
      <c r="G11" s="307"/>
      <c r="H11" s="307"/>
      <c r="I11" s="307"/>
      <c r="J11" s="307"/>
      <c r="K11" s="307"/>
      <c r="L11" s="307"/>
      <c r="M11" s="307"/>
      <c r="N11" s="307"/>
      <c r="O11" s="307"/>
      <c r="P11" s="307"/>
      <c r="Q11" s="308"/>
      <c r="R11" s="28"/>
    </row>
    <row r="12" spans="2:18" ht="32.15" customHeight="1" x14ac:dyDescent="0.3">
      <c r="B12" s="27"/>
      <c r="C12" s="295" t="s">
        <v>0</v>
      </c>
      <c r="D12" s="295"/>
      <c r="E12" s="295"/>
      <c r="F12" s="295"/>
      <c r="G12" s="295"/>
      <c r="H12" s="295"/>
      <c r="I12" s="295"/>
      <c r="J12" s="295"/>
      <c r="K12" s="295"/>
      <c r="L12" s="295"/>
      <c r="M12" s="295"/>
      <c r="N12" s="295"/>
      <c r="O12" s="295"/>
      <c r="P12" s="295"/>
      <c r="Q12" s="295"/>
      <c r="R12" s="28"/>
    </row>
    <row r="13" spans="2:18" ht="14.65" customHeight="1" x14ac:dyDescent="0.3">
      <c r="B13" s="27"/>
      <c r="C13" s="296" t="s">
        <v>1</v>
      </c>
      <c r="D13" s="296"/>
      <c r="E13" s="296"/>
      <c r="F13" s="296"/>
      <c r="G13" s="291" t="s">
        <v>2</v>
      </c>
      <c r="H13" s="291"/>
      <c r="I13" s="291"/>
      <c r="J13" s="291"/>
      <c r="K13" s="291"/>
      <c r="L13" s="291"/>
      <c r="M13" s="291" t="s">
        <v>3</v>
      </c>
      <c r="N13" s="291"/>
      <c r="O13" s="291"/>
      <c r="P13" s="291"/>
      <c r="Q13" s="291"/>
      <c r="R13" s="28"/>
    </row>
    <row r="14" spans="2:18" ht="14.65" customHeight="1" x14ac:dyDescent="0.3">
      <c r="B14" s="27"/>
      <c r="C14" s="292" t="s">
        <v>4</v>
      </c>
      <c r="D14" s="292"/>
      <c r="E14" s="292"/>
      <c r="F14" s="292"/>
      <c r="G14" s="291" t="s">
        <v>5</v>
      </c>
      <c r="H14" s="291"/>
      <c r="I14" s="291"/>
      <c r="J14" s="291"/>
      <c r="K14" s="291"/>
      <c r="L14" s="291"/>
      <c r="M14" s="291" t="s">
        <v>6</v>
      </c>
      <c r="N14" s="291"/>
      <c r="O14" s="291"/>
      <c r="P14" s="291"/>
      <c r="Q14" s="291"/>
      <c r="R14" s="28"/>
    </row>
    <row r="15" spans="2:18" ht="14.65" customHeight="1" x14ac:dyDescent="0.3">
      <c r="B15" s="27"/>
      <c r="C15" s="293" t="s">
        <v>7</v>
      </c>
      <c r="D15" s="293"/>
      <c r="E15" s="293"/>
      <c r="F15" s="293"/>
      <c r="G15" s="291" t="s">
        <v>8</v>
      </c>
      <c r="H15" s="291"/>
      <c r="I15" s="291"/>
      <c r="J15" s="291"/>
      <c r="K15" s="291"/>
      <c r="L15" s="291"/>
      <c r="M15" s="291" t="s">
        <v>6</v>
      </c>
      <c r="N15" s="291"/>
      <c r="O15" s="291"/>
      <c r="P15" s="291"/>
      <c r="Q15" s="291"/>
      <c r="R15" s="28"/>
    </row>
    <row r="16" spans="2:18" ht="14.65" customHeight="1" x14ac:dyDescent="0.3">
      <c r="B16" s="27"/>
      <c r="C16" s="290" t="s">
        <v>9</v>
      </c>
      <c r="D16" s="290"/>
      <c r="E16" s="290"/>
      <c r="F16" s="290"/>
      <c r="G16" s="291" t="s">
        <v>10</v>
      </c>
      <c r="H16" s="291"/>
      <c r="I16" s="291"/>
      <c r="J16" s="291"/>
      <c r="K16" s="291"/>
      <c r="L16" s="291"/>
      <c r="M16" s="291"/>
      <c r="N16" s="291"/>
      <c r="O16" s="291"/>
      <c r="P16" s="291"/>
      <c r="Q16" s="291"/>
      <c r="R16" s="28"/>
    </row>
    <row r="17" spans="2:18" ht="14.65" customHeight="1" x14ac:dyDescent="0.3">
      <c r="B17" s="27"/>
      <c r="C17" s="294" t="s">
        <v>738</v>
      </c>
      <c r="D17" s="294"/>
      <c r="E17" s="294"/>
      <c r="F17" s="294"/>
      <c r="G17" s="294"/>
      <c r="H17" s="294"/>
      <c r="I17" s="294"/>
      <c r="J17" s="294"/>
      <c r="K17" s="294"/>
      <c r="L17" s="294"/>
      <c r="M17" s="294"/>
      <c r="N17" s="294"/>
      <c r="O17" s="294"/>
      <c r="P17" s="294"/>
      <c r="Q17" s="294"/>
      <c r="R17" s="28"/>
    </row>
    <row r="18" spans="2:18" x14ac:dyDescent="0.3">
      <c r="B18" s="27"/>
      <c r="C18" s="294"/>
      <c r="D18" s="294"/>
      <c r="E18" s="294"/>
      <c r="F18" s="294"/>
      <c r="G18" s="294"/>
      <c r="H18" s="294"/>
      <c r="I18" s="294"/>
      <c r="J18" s="294"/>
      <c r="K18" s="294"/>
      <c r="L18" s="294"/>
      <c r="M18" s="294"/>
      <c r="N18" s="294"/>
      <c r="O18" s="294"/>
      <c r="P18" s="294"/>
      <c r="Q18" s="294"/>
      <c r="R18" s="28"/>
    </row>
    <row r="19" spans="2:18" ht="20" customHeight="1" x14ac:dyDescent="0.3">
      <c r="B19" s="27"/>
      <c r="C19" s="294"/>
      <c r="D19" s="294"/>
      <c r="E19" s="294"/>
      <c r="F19" s="294"/>
      <c r="G19" s="294"/>
      <c r="H19" s="294"/>
      <c r="I19" s="294"/>
      <c r="J19" s="294"/>
      <c r="K19" s="294"/>
      <c r="L19" s="294"/>
      <c r="M19" s="294"/>
      <c r="N19" s="294"/>
      <c r="O19" s="294"/>
      <c r="P19" s="294"/>
      <c r="Q19" s="294"/>
      <c r="R19" s="28"/>
    </row>
    <row r="20" spans="2:18" x14ac:dyDescent="0.3">
      <c r="B20" s="27"/>
      <c r="R20" s="28"/>
    </row>
    <row r="21" spans="2:18" ht="32.15" customHeight="1" x14ac:dyDescent="0.3">
      <c r="B21" s="27"/>
      <c r="C21" s="283" t="s">
        <v>11</v>
      </c>
      <c r="D21" s="283"/>
      <c r="E21" s="283"/>
      <c r="F21" s="283"/>
      <c r="G21" s="283"/>
      <c r="H21" s="283"/>
      <c r="I21" s="283"/>
      <c r="J21" s="283"/>
      <c r="K21" s="283"/>
      <c r="L21" s="283"/>
      <c r="M21" s="283"/>
      <c r="N21" s="283"/>
      <c r="O21" s="283"/>
      <c r="P21" s="283"/>
      <c r="Q21" s="283"/>
      <c r="R21" s="28"/>
    </row>
    <row r="22" spans="2:18" ht="33.65" customHeight="1" x14ac:dyDescent="0.3">
      <c r="B22" s="27"/>
      <c r="C22" s="286" t="s">
        <v>644</v>
      </c>
      <c r="D22" s="286"/>
      <c r="E22" s="286"/>
      <c r="F22" s="286"/>
      <c r="G22" s="286"/>
      <c r="H22" s="286"/>
      <c r="I22" s="286"/>
      <c r="J22" s="286"/>
      <c r="K22" s="286"/>
      <c r="L22" s="286"/>
      <c r="M22" s="286"/>
      <c r="N22" s="286"/>
      <c r="O22" s="286"/>
      <c r="P22" s="286"/>
      <c r="Q22" s="286"/>
      <c r="R22" s="28"/>
    </row>
    <row r="23" spans="2:18" x14ac:dyDescent="0.3">
      <c r="B23" s="27"/>
      <c r="C23" s="29"/>
      <c r="D23" s="29"/>
      <c r="E23" s="29"/>
      <c r="F23" s="29"/>
      <c r="G23" s="29"/>
      <c r="H23" s="29"/>
      <c r="I23" s="29"/>
      <c r="J23" s="29"/>
      <c r="K23" s="29"/>
      <c r="L23" s="29"/>
      <c r="M23" s="29"/>
      <c r="N23" s="29"/>
      <c r="O23" s="29"/>
      <c r="P23" s="29"/>
      <c r="Q23" s="29"/>
      <c r="R23" s="28"/>
    </row>
    <row r="24" spans="2:18" x14ac:dyDescent="0.3">
      <c r="B24" s="27"/>
      <c r="D24" s="30" t="s">
        <v>12</v>
      </c>
      <c r="R24" s="28"/>
    </row>
    <row r="25" spans="2:18" x14ac:dyDescent="0.3">
      <c r="B25" s="27"/>
      <c r="D25" s="273" t="s">
        <v>704</v>
      </c>
      <c r="E25" s="274"/>
      <c r="F25" s="274"/>
      <c r="G25" s="274"/>
      <c r="R25" s="28"/>
    </row>
    <row r="26" spans="2:18" x14ac:dyDescent="0.3">
      <c r="B26" s="27"/>
      <c r="C26" s="29"/>
      <c r="D26" s="29"/>
      <c r="E26" s="29"/>
      <c r="F26" s="29"/>
      <c r="G26" s="29"/>
      <c r="H26" s="29"/>
      <c r="I26" s="29"/>
      <c r="J26" s="29"/>
      <c r="K26" s="29"/>
      <c r="L26" s="29"/>
      <c r="M26" s="29"/>
      <c r="N26" s="29"/>
      <c r="O26" s="29"/>
      <c r="P26" s="29"/>
      <c r="Q26" s="29"/>
      <c r="R26" s="28"/>
    </row>
    <row r="27" spans="2:18" x14ac:dyDescent="0.3">
      <c r="B27" s="27"/>
      <c r="D27" s="30" t="s">
        <v>645</v>
      </c>
      <c r="R27" s="28"/>
    </row>
    <row r="28" spans="2:18" x14ac:dyDescent="0.3">
      <c r="B28" s="27"/>
      <c r="D28" s="273" t="s">
        <v>705</v>
      </c>
      <c r="E28" s="274"/>
      <c r="F28" s="274"/>
      <c r="G28" s="274"/>
      <c r="R28" s="28"/>
    </row>
    <row r="29" spans="2:18" x14ac:dyDescent="0.3">
      <c r="B29" s="27"/>
      <c r="D29" s="273" t="s">
        <v>706</v>
      </c>
      <c r="E29" s="274"/>
      <c r="F29" s="274"/>
      <c r="G29" s="274"/>
      <c r="R29" s="28"/>
    </row>
    <row r="30" spans="2:18" x14ac:dyDescent="0.3">
      <c r="B30" s="27"/>
      <c r="D30" s="273" t="s">
        <v>707</v>
      </c>
      <c r="E30" s="274"/>
      <c r="F30" s="274"/>
      <c r="G30" s="274"/>
      <c r="R30" s="28"/>
    </row>
    <row r="31" spans="2:18" x14ac:dyDescent="0.3">
      <c r="B31" s="27"/>
      <c r="D31" s="274"/>
      <c r="E31" s="274"/>
      <c r="F31" s="274"/>
      <c r="G31" s="274"/>
      <c r="R31" s="28"/>
    </row>
    <row r="32" spans="2:18" x14ac:dyDescent="0.3">
      <c r="B32" s="27"/>
      <c r="D32" s="30" t="s">
        <v>13</v>
      </c>
      <c r="H32" s="266"/>
      <c r="R32" s="28"/>
    </row>
    <row r="33" spans="2:18" x14ac:dyDescent="0.3">
      <c r="B33" s="27"/>
      <c r="D33" s="273" t="s">
        <v>771</v>
      </c>
      <c r="H33" s="266"/>
      <c r="J33" s="282" t="s">
        <v>772</v>
      </c>
      <c r="K33" s="282"/>
      <c r="L33" s="282"/>
      <c r="M33" s="282"/>
      <c r="N33" s="282"/>
      <c r="R33" s="28"/>
    </row>
    <row r="34" spans="2:18" x14ac:dyDescent="0.3">
      <c r="B34" s="27"/>
      <c r="D34" s="273" t="s">
        <v>777</v>
      </c>
      <c r="H34" s="266"/>
      <c r="R34" s="28"/>
    </row>
    <row r="35" spans="2:18" x14ac:dyDescent="0.3">
      <c r="B35" s="27"/>
      <c r="D35" s="273" t="s">
        <v>708</v>
      </c>
      <c r="H35" s="266"/>
      <c r="R35" s="28"/>
    </row>
    <row r="36" spans="2:18" x14ac:dyDescent="0.3">
      <c r="B36" s="27"/>
      <c r="D36" s="273" t="s">
        <v>709</v>
      </c>
      <c r="H36" s="266"/>
      <c r="R36" s="28"/>
    </row>
    <row r="37" spans="2:18" x14ac:dyDescent="0.3">
      <c r="B37" s="27"/>
      <c r="D37" s="274"/>
      <c r="E37" s="274"/>
      <c r="F37" s="274"/>
      <c r="G37" s="274"/>
      <c r="R37" s="28"/>
    </row>
    <row r="38" spans="2:18" x14ac:dyDescent="0.3">
      <c r="B38" s="27"/>
      <c r="D38" s="30" t="s">
        <v>643</v>
      </c>
      <c r="H38" s="266"/>
      <c r="R38" s="28"/>
    </row>
    <row r="39" spans="2:18" x14ac:dyDescent="0.3">
      <c r="B39" s="27"/>
      <c r="D39" s="273" t="s">
        <v>710</v>
      </c>
      <c r="H39" s="266"/>
      <c r="R39" s="28"/>
    </row>
    <row r="40" spans="2:18" x14ac:dyDescent="0.3">
      <c r="B40" s="27"/>
      <c r="D40" s="275" t="s">
        <v>778</v>
      </c>
      <c r="H40" s="266"/>
      <c r="R40" s="28"/>
    </row>
    <row r="41" spans="2:18" x14ac:dyDescent="0.3">
      <c r="B41" s="27"/>
      <c r="D41" s="275" t="s">
        <v>711</v>
      </c>
      <c r="H41" s="266"/>
      <c r="R41" s="28"/>
    </row>
    <row r="42" spans="2:18" x14ac:dyDescent="0.3">
      <c r="B42" s="27"/>
      <c r="D42" s="275" t="s">
        <v>713</v>
      </c>
      <c r="H42" s="266"/>
      <c r="R42" s="28"/>
    </row>
    <row r="43" spans="2:18" x14ac:dyDescent="0.3">
      <c r="B43" s="27"/>
      <c r="D43" s="274"/>
      <c r="H43" s="266"/>
      <c r="R43" s="28"/>
    </row>
    <row r="44" spans="2:18" x14ac:dyDescent="0.3">
      <c r="B44" s="27"/>
      <c r="D44" s="30" t="s">
        <v>702</v>
      </c>
      <c r="R44" s="28"/>
    </row>
    <row r="45" spans="2:18" x14ac:dyDescent="0.3">
      <c r="B45" s="27"/>
      <c r="D45" s="273" t="s">
        <v>733</v>
      </c>
      <c r="R45" s="28"/>
    </row>
    <row r="46" spans="2:18" x14ac:dyDescent="0.3">
      <c r="B46" s="27"/>
      <c r="D46" s="273" t="s">
        <v>712</v>
      </c>
      <c r="R46" s="28"/>
    </row>
    <row r="47" spans="2:18" ht="47.5" customHeight="1" x14ac:dyDescent="0.3">
      <c r="B47" s="27"/>
      <c r="D47" s="288" t="s">
        <v>735</v>
      </c>
      <c r="E47" s="289"/>
      <c r="F47" s="289"/>
      <c r="G47" s="289"/>
      <c r="H47" s="289"/>
      <c r="I47" s="289"/>
      <c r="J47" s="289"/>
      <c r="K47" s="289"/>
      <c r="L47" s="289"/>
      <c r="M47" s="289"/>
      <c r="N47" s="289"/>
      <c r="O47" s="289"/>
      <c r="P47" s="289"/>
      <c r="Q47" s="289"/>
      <c r="R47" s="28"/>
    </row>
    <row r="48" spans="2:18" x14ac:dyDescent="0.3">
      <c r="B48" s="27"/>
      <c r="D48" s="30"/>
      <c r="R48" s="28"/>
    </row>
    <row r="49" spans="2:18" x14ac:dyDescent="0.3">
      <c r="B49" s="27"/>
      <c r="R49" s="28"/>
    </row>
    <row r="50" spans="2:18" ht="32.15" customHeight="1" x14ac:dyDescent="0.3">
      <c r="B50" s="27"/>
      <c r="C50" s="283" t="s">
        <v>14</v>
      </c>
      <c r="D50" s="283"/>
      <c r="E50" s="283"/>
      <c r="F50" s="283"/>
      <c r="G50" s="283"/>
      <c r="H50" s="283"/>
      <c r="I50" s="283"/>
      <c r="J50" s="283"/>
      <c r="K50" s="283"/>
      <c r="L50" s="283"/>
      <c r="M50" s="283"/>
      <c r="N50" s="283"/>
      <c r="O50" s="283"/>
      <c r="P50" s="283"/>
      <c r="Q50" s="283"/>
      <c r="R50" s="28"/>
    </row>
    <row r="51" spans="2:18" ht="14.15" customHeight="1" x14ac:dyDescent="0.3">
      <c r="B51" s="27"/>
      <c r="C51" s="285" t="s">
        <v>15</v>
      </c>
      <c r="D51" s="285"/>
      <c r="E51" s="285"/>
      <c r="F51" s="285"/>
      <c r="G51" s="285"/>
      <c r="H51" s="285"/>
      <c r="I51" s="285"/>
      <c r="J51" s="285"/>
      <c r="K51" s="285"/>
      <c r="L51" s="285"/>
      <c r="M51" s="285"/>
      <c r="N51" s="285"/>
      <c r="O51" s="285"/>
      <c r="P51" s="285"/>
      <c r="Q51" s="285"/>
      <c r="R51" s="28"/>
    </row>
    <row r="52" spans="2:18" x14ac:dyDescent="0.3">
      <c r="B52" s="27"/>
      <c r="C52" s="286"/>
      <c r="D52" s="286"/>
      <c r="E52" s="286"/>
      <c r="F52" s="286"/>
      <c r="G52" s="286"/>
      <c r="H52" s="286"/>
      <c r="I52" s="286"/>
      <c r="J52" s="286"/>
      <c r="K52" s="286"/>
      <c r="L52" s="286"/>
      <c r="M52" s="286"/>
      <c r="N52" s="286"/>
      <c r="O52" s="286"/>
      <c r="P52" s="286"/>
      <c r="Q52" s="286"/>
      <c r="R52" s="28"/>
    </row>
    <row r="53" spans="2:18" x14ac:dyDescent="0.3">
      <c r="B53" s="27"/>
      <c r="C53" s="286"/>
      <c r="D53" s="286"/>
      <c r="E53" s="286"/>
      <c r="F53" s="286"/>
      <c r="G53" s="286"/>
      <c r="H53" s="286"/>
      <c r="I53" s="286"/>
      <c r="J53" s="286"/>
      <c r="K53" s="286"/>
      <c r="L53" s="286"/>
      <c r="M53" s="286"/>
      <c r="N53" s="286"/>
      <c r="O53" s="286"/>
      <c r="P53" s="286"/>
      <c r="Q53" s="286"/>
      <c r="R53" s="28"/>
    </row>
    <row r="54" spans="2:18" x14ac:dyDescent="0.3">
      <c r="B54" s="27"/>
      <c r="C54" s="31"/>
      <c r="D54" s="31"/>
      <c r="E54" s="31"/>
      <c r="F54" s="31"/>
      <c r="G54" s="31"/>
      <c r="H54" s="31"/>
      <c r="I54" s="31"/>
      <c r="J54" s="31"/>
      <c r="K54" s="31"/>
      <c r="L54" s="31"/>
      <c r="M54" s="31"/>
      <c r="N54" s="31"/>
      <c r="O54" s="31"/>
      <c r="P54" s="31"/>
      <c r="Q54" s="31"/>
      <c r="R54" s="28"/>
    </row>
    <row r="55" spans="2:18" ht="18" x14ac:dyDescent="0.4">
      <c r="B55" s="27"/>
      <c r="C55" s="32"/>
      <c r="D55" s="30" t="s">
        <v>16</v>
      </c>
      <c r="R55" s="28"/>
    </row>
    <row r="56" spans="2:18" ht="33" customHeight="1" x14ac:dyDescent="0.4">
      <c r="B56" s="27"/>
      <c r="C56" s="32"/>
      <c r="D56" s="289" t="s">
        <v>736</v>
      </c>
      <c r="E56" s="289"/>
      <c r="F56" s="289"/>
      <c r="G56" s="289"/>
      <c r="H56" s="289"/>
      <c r="I56" s="289"/>
      <c r="J56" s="289"/>
      <c r="K56" s="289"/>
      <c r="L56" s="289"/>
      <c r="M56" s="289"/>
      <c r="N56" s="289"/>
      <c r="O56" s="289"/>
      <c r="P56" s="289"/>
      <c r="Q56" s="289"/>
      <c r="R56" s="28"/>
    </row>
    <row r="57" spans="2:18" ht="18" x14ac:dyDescent="0.4">
      <c r="B57" s="27"/>
      <c r="C57" s="32"/>
      <c r="D57" s="30"/>
      <c r="R57" s="28"/>
    </row>
    <row r="58" spans="2:18" ht="30" customHeight="1" x14ac:dyDescent="0.3">
      <c r="B58" s="27"/>
      <c r="C58" s="276"/>
      <c r="D58" s="287" t="s">
        <v>17</v>
      </c>
      <c r="E58" s="287"/>
      <c r="F58" s="287"/>
      <c r="G58" s="287"/>
      <c r="H58" s="277" t="s">
        <v>741</v>
      </c>
      <c r="I58" s="284" t="s">
        <v>696</v>
      </c>
      <c r="J58" s="284"/>
      <c r="K58" s="284"/>
      <c r="L58" s="284"/>
      <c r="M58" s="284"/>
      <c r="N58" s="284"/>
      <c r="O58" s="284"/>
      <c r="P58" s="284"/>
      <c r="Q58" s="284"/>
      <c r="R58" s="28"/>
    </row>
    <row r="59" spans="2:18" ht="30" customHeight="1" x14ac:dyDescent="0.3">
      <c r="B59" s="27"/>
      <c r="C59" s="276"/>
      <c r="D59" s="287" t="s">
        <v>18</v>
      </c>
      <c r="E59" s="287"/>
      <c r="F59" s="287"/>
      <c r="G59" s="287"/>
      <c r="H59" s="277" t="s">
        <v>742</v>
      </c>
      <c r="I59" s="284" t="s">
        <v>697</v>
      </c>
      <c r="J59" s="284"/>
      <c r="K59" s="284"/>
      <c r="L59" s="284"/>
      <c r="M59" s="284"/>
      <c r="N59" s="284"/>
      <c r="O59" s="284"/>
      <c r="P59" s="284"/>
      <c r="Q59" s="284"/>
      <c r="R59" s="28"/>
    </row>
    <row r="60" spans="2:18" ht="30" customHeight="1" x14ac:dyDescent="0.3">
      <c r="B60" s="27"/>
      <c r="C60" s="276"/>
      <c r="D60" s="287" t="s">
        <v>19</v>
      </c>
      <c r="E60" s="287"/>
      <c r="F60" s="287"/>
      <c r="G60" s="287"/>
      <c r="H60" s="277" t="s">
        <v>743</v>
      </c>
      <c r="I60" s="284" t="s">
        <v>698</v>
      </c>
      <c r="J60" s="284"/>
      <c r="K60" s="284"/>
      <c r="L60" s="284"/>
      <c r="M60" s="284"/>
      <c r="N60" s="284"/>
      <c r="O60" s="284"/>
      <c r="P60" s="284"/>
      <c r="Q60" s="284"/>
      <c r="R60" s="28"/>
    </row>
    <row r="61" spans="2:18" ht="30" customHeight="1" x14ac:dyDescent="0.3">
      <c r="B61" s="27"/>
      <c r="C61" s="276"/>
      <c r="D61" s="287" t="s">
        <v>642</v>
      </c>
      <c r="E61" s="287"/>
      <c r="F61" s="287"/>
      <c r="G61" s="287"/>
      <c r="H61" s="277" t="s">
        <v>744</v>
      </c>
      <c r="I61" s="284" t="s">
        <v>699</v>
      </c>
      <c r="J61" s="284"/>
      <c r="K61" s="284"/>
      <c r="L61" s="284"/>
      <c r="M61" s="284"/>
      <c r="N61" s="284"/>
      <c r="O61" s="284"/>
      <c r="P61" s="284"/>
      <c r="Q61" s="284"/>
      <c r="R61" s="28"/>
    </row>
    <row r="62" spans="2:18" ht="200" customHeight="1" x14ac:dyDescent="0.3">
      <c r="B62" s="27"/>
      <c r="C62" s="276"/>
      <c r="D62" s="287" t="s">
        <v>715</v>
      </c>
      <c r="E62" s="287"/>
      <c r="F62" s="287"/>
      <c r="G62" s="287"/>
      <c r="H62" s="277" t="s">
        <v>745</v>
      </c>
      <c r="I62" s="284" t="s">
        <v>779</v>
      </c>
      <c r="J62" s="284"/>
      <c r="K62" s="284"/>
      <c r="L62" s="284"/>
      <c r="M62" s="284"/>
      <c r="N62" s="284"/>
      <c r="O62" s="284"/>
      <c r="P62" s="284"/>
      <c r="Q62" s="284"/>
      <c r="R62" s="28"/>
    </row>
    <row r="63" spans="2:18" ht="47.5" customHeight="1" x14ac:dyDescent="0.3">
      <c r="B63" s="27"/>
      <c r="C63" s="276"/>
      <c r="D63" s="287" t="s">
        <v>21</v>
      </c>
      <c r="E63" s="287"/>
      <c r="F63" s="287"/>
      <c r="G63" s="287"/>
      <c r="H63" s="277" t="s">
        <v>746</v>
      </c>
      <c r="I63" s="284" t="s">
        <v>703</v>
      </c>
      <c r="J63" s="284"/>
      <c r="K63" s="284"/>
      <c r="L63" s="284"/>
      <c r="M63" s="284"/>
      <c r="N63" s="284"/>
      <c r="O63" s="284"/>
      <c r="P63" s="284"/>
      <c r="Q63" s="284"/>
      <c r="R63" s="28"/>
    </row>
    <row r="64" spans="2:18" ht="46.5" customHeight="1" x14ac:dyDescent="0.3">
      <c r="B64" s="27"/>
      <c r="C64" s="276"/>
      <c r="D64" s="287" t="s">
        <v>646</v>
      </c>
      <c r="E64" s="287"/>
      <c r="F64" s="287"/>
      <c r="G64" s="287"/>
      <c r="H64" s="277" t="s">
        <v>747</v>
      </c>
      <c r="I64" s="284" t="s">
        <v>714</v>
      </c>
      <c r="J64" s="284"/>
      <c r="K64" s="284"/>
      <c r="L64" s="284"/>
      <c r="M64" s="284"/>
      <c r="N64" s="284"/>
      <c r="O64" s="284"/>
      <c r="P64" s="284"/>
      <c r="Q64" s="284"/>
      <c r="R64" s="28"/>
    </row>
    <row r="65" spans="2:18" ht="44" customHeight="1" x14ac:dyDescent="0.3">
      <c r="B65" s="27"/>
      <c r="C65" s="276"/>
      <c r="D65" s="287" t="s">
        <v>693</v>
      </c>
      <c r="E65" s="287"/>
      <c r="F65" s="287"/>
      <c r="G65" s="287"/>
      <c r="H65" s="277" t="s">
        <v>748</v>
      </c>
      <c r="I65" s="284" t="s">
        <v>726</v>
      </c>
      <c r="J65" s="284"/>
      <c r="K65" s="284"/>
      <c r="L65" s="284"/>
      <c r="M65" s="284"/>
      <c r="N65" s="284"/>
      <c r="O65" s="284"/>
      <c r="P65" s="284"/>
      <c r="Q65" s="284"/>
      <c r="R65" s="28"/>
    </row>
    <row r="66" spans="2:18" ht="66" customHeight="1" x14ac:dyDescent="0.3">
      <c r="B66" s="27"/>
      <c r="C66" s="276"/>
      <c r="D66" s="287" t="s">
        <v>22</v>
      </c>
      <c r="E66" s="287"/>
      <c r="F66" s="287"/>
      <c r="G66" s="287"/>
      <c r="H66" s="277" t="s">
        <v>749</v>
      </c>
      <c r="I66" s="284" t="s">
        <v>727</v>
      </c>
      <c r="J66" s="284"/>
      <c r="K66" s="284"/>
      <c r="L66" s="284"/>
      <c r="M66" s="284"/>
      <c r="N66" s="284"/>
      <c r="O66" s="284"/>
      <c r="P66" s="284"/>
      <c r="Q66" s="284"/>
      <c r="R66" s="28"/>
    </row>
    <row r="67" spans="2:18" ht="25.9" customHeight="1" x14ac:dyDescent="0.3">
      <c r="B67" s="27"/>
      <c r="C67" s="276"/>
      <c r="D67" s="30" t="s">
        <v>23</v>
      </c>
      <c r="I67" s="78"/>
      <c r="J67" s="78"/>
      <c r="K67" s="78"/>
      <c r="L67" s="78"/>
      <c r="M67" s="78"/>
      <c r="N67" s="78"/>
      <c r="O67" s="78"/>
      <c r="P67" s="78"/>
      <c r="Q67" s="78"/>
      <c r="R67" s="28"/>
    </row>
    <row r="68" spans="2:18" ht="25.9" customHeight="1" x14ac:dyDescent="0.3">
      <c r="B68" s="27"/>
      <c r="C68" s="276"/>
      <c r="D68" s="287" t="s">
        <v>422</v>
      </c>
      <c r="E68" s="287"/>
      <c r="F68" s="287"/>
      <c r="G68" s="287"/>
      <c r="H68" s="277" t="s">
        <v>750</v>
      </c>
      <c r="I68" s="284" t="s">
        <v>694</v>
      </c>
      <c r="J68" s="284"/>
      <c r="K68" s="284"/>
      <c r="L68" s="284"/>
      <c r="M68" s="284"/>
      <c r="N68" s="284"/>
      <c r="O68" s="284"/>
      <c r="P68" s="284"/>
      <c r="Q68" s="284"/>
      <c r="R68" s="28"/>
    </row>
    <row r="69" spans="2:18" ht="50.5" customHeight="1" x14ac:dyDescent="0.3">
      <c r="B69" s="27"/>
      <c r="C69" s="276"/>
      <c r="D69" s="287" t="s">
        <v>695</v>
      </c>
      <c r="E69" s="287"/>
      <c r="F69" s="287"/>
      <c r="G69" s="287"/>
      <c r="H69" s="277" t="s">
        <v>751</v>
      </c>
      <c r="I69" s="284" t="s">
        <v>700</v>
      </c>
      <c r="J69" s="284"/>
      <c r="K69" s="284"/>
      <c r="L69" s="284"/>
      <c r="M69" s="284"/>
      <c r="N69" s="284"/>
      <c r="O69" s="284"/>
      <c r="P69" s="284"/>
      <c r="Q69" s="284"/>
      <c r="R69" s="28"/>
    </row>
    <row r="70" spans="2:18" ht="43.5" customHeight="1" x14ac:dyDescent="0.3">
      <c r="B70" s="27"/>
      <c r="C70" s="276"/>
      <c r="D70" s="287" t="s">
        <v>20</v>
      </c>
      <c r="E70" s="287"/>
      <c r="F70" s="287"/>
      <c r="G70" s="287"/>
      <c r="H70" s="277" t="s">
        <v>752</v>
      </c>
      <c r="I70" s="284" t="s">
        <v>723</v>
      </c>
      <c r="J70" s="284"/>
      <c r="K70" s="284"/>
      <c r="L70" s="284"/>
      <c r="M70" s="284"/>
      <c r="N70" s="284"/>
      <c r="O70" s="284"/>
      <c r="P70" s="284"/>
      <c r="Q70" s="284"/>
      <c r="R70" s="28"/>
    </row>
    <row r="71" spans="2:18" x14ac:dyDescent="0.3">
      <c r="B71" s="27"/>
      <c r="I71" s="78"/>
      <c r="J71" s="78"/>
      <c r="K71" s="78"/>
      <c r="L71" s="78"/>
      <c r="M71" s="78"/>
      <c r="N71" s="78"/>
      <c r="O71" s="78"/>
      <c r="P71" s="78"/>
      <c r="Q71" s="78"/>
      <c r="R71" s="28"/>
    </row>
    <row r="72" spans="2:18" x14ac:dyDescent="0.3">
      <c r="B72" s="27"/>
      <c r="D72" s="30" t="s">
        <v>24</v>
      </c>
      <c r="I72" s="78"/>
      <c r="J72" s="78"/>
      <c r="K72" s="78"/>
      <c r="L72" s="78"/>
      <c r="M72" s="78"/>
      <c r="N72" s="78"/>
      <c r="O72" s="78"/>
      <c r="P72" s="78"/>
      <c r="Q72" s="78"/>
      <c r="R72" s="28"/>
    </row>
    <row r="73" spans="2:18" x14ac:dyDescent="0.3">
      <c r="B73" s="27"/>
      <c r="D73" s="274" t="s">
        <v>734</v>
      </c>
      <c r="R73" s="28"/>
    </row>
    <row r="74" spans="2:18" ht="14.5" x14ac:dyDescent="0.3">
      <c r="B74" s="102"/>
      <c r="C74" s="103"/>
      <c r="D74" s="104"/>
      <c r="E74" s="103"/>
      <c r="F74" s="103"/>
      <c r="G74" s="103"/>
      <c r="H74" s="103"/>
      <c r="I74" s="103"/>
      <c r="J74" s="103"/>
      <c r="K74" s="103"/>
      <c r="L74" s="103"/>
      <c r="M74" s="103"/>
      <c r="N74" s="103"/>
      <c r="O74" s="103"/>
      <c r="P74" s="103"/>
      <c r="Q74" s="103"/>
      <c r="R74" s="105"/>
    </row>
    <row r="75" spans="2:18" x14ac:dyDescent="0.3"/>
    <row r="76" spans="2:18" x14ac:dyDescent="0.3"/>
    <row r="77" spans="2:18" x14ac:dyDescent="0.3"/>
    <row r="78" spans="2:18" x14ac:dyDescent="0.3"/>
  </sheetData>
  <mergeCells count="47">
    <mergeCell ref="D61:G61"/>
    <mergeCell ref="I61:Q61"/>
    <mergeCell ref="D69:G69"/>
    <mergeCell ref="I69:Q69"/>
    <mergeCell ref="I62:Q62"/>
    <mergeCell ref="D70:G70"/>
    <mergeCell ref="I70:Q70"/>
    <mergeCell ref="D66:G66"/>
    <mergeCell ref="I66:Q66"/>
    <mergeCell ref="D62:G62"/>
    <mergeCell ref="D63:G63"/>
    <mergeCell ref="I63:Q63"/>
    <mergeCell ref="D65:G65"/>
    <mergeCell ref="I65:Q65"/>
    <mergeCell ref="D64:G64"/>
    <mergeCell ref="I64:Q64"/>
    <mergeCell ref="D68:G68"/>
    <mergeCell ref="I68:Q68"/>
    <mergeCell ref="C12:Q12"/>
    <mergeCell ref="C13:F13"/>
    <mergeCell ref="G13:L13"/>
    <mergeCell ref="M13:Q13"/>
    <mergeCell ref="C3:Q10"/>
    <mergeCell ref="C11:Q11"/>
    <mergeCell ref="C22:Q22"/>
    <mergeCell ref="C16:F16"/>
    <mergeCell ref="G16:L16"/>
    <mergeCell ref="M16:Q16"/>
    <mergeCell ref="C14:F14"/>
    <mergeCell ref="G14:L14"/>
    <mergeCell ref="M14:Q14"/>
    <mergeCell ref="C15:F15"/>
    <mergeCell ref="G15:L15"/>
    <mergeCell ref="M15:Q15"/>
    <mergeCell ref="C17:Q19"/>
    <mergeCell ref="C21:Q21"/>
    <mergeCell ref="J33:N33"/>
    <mergeCell ref="C50:Q50"/>
    <mergeCell ref="I58:Q58"/>
    <mergeCell ref="C51:Q53"/>
    <mergeCell ref="D60:G60"/>
    <mergeCell ref="D47:Q47"/>
    <mergeCell ref="I60:Q60"/>
    <mergeCell ref="I59:Q59"/>
    <mergeCell ref="D58:G58"/>
    <mergeCell ref="D59:G59"/>
    <mergeCell ref="D56:Q56"/>
  </mergeCells>
  <hyperlinks>
    <hyperlink ref="J33" r:id="rId1" display="  Aggregate data can be requested here." xr:uid="{23BA180E-9960-463A-96E1-A82A7B161DCD}"/>
  </hyperlinks>
  <printOptions horizontalCentered="1" verticalCentered="1"/>
  <pageMargins left="0.7" right="0.7" top="0.75" bottom="0.75" header="0.3" footer="0.3"/>
  <pageSetup scale="61" fitToHeight="2" orientation="portrait" r:id="rId2"/>
  <rowBreaks count="1" manualBreakCount="1">
    <brk id="54" min="1" max="17"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0" tint="-0.499984740745262"/>
  </sheetPr>
  <dimension ref="A1:AF48"/>
  <sheetViews>
    <sheetView topLeftCell="W22" zoomScaleNormal="100" workbookViewId="0">
      <selection activeCell="AC39" sqref="AC39:AF41"/>
    </sheetView>
  </sheetViews>
  <sheetFormatPr defaultColWidth="8.7265625" defaultRowHeight="22.5" customHeight="1" x14ac:dyDescent="0.3"/>
  <cols>
    <col min="1" max="1" width="35.54296875" style="1" customWidth="1"/>
    <col min="2" max="2" width="15.54296875" style="1" bestFit="1" customWidth="1"/>
    <col min="3" max="3" width="24" style="1" customWidth="1"/>
    <col min="4" max="4" width="38.453125" style="1" bestFit="1" customWidth="1"/>
    <col min="5" max="7" width="53.26953125" style="1" customWidth="1"/>
    <col min="8" max="8" width="46.7265625" style="1" bestFit="1" customWidth="1"/>
    <col min="9" max="9" width="16.453125" style="1" customWidth="1"/>
    <col min="10" max="10" width="17.54296875" style="2" customWidth="1"/>
    <col min="11" max="11" width="28.7265625" style="1" customWidth="1"/>
    <col min="12" max="12" width="19.26953125" style="1" customWidth="1"/>
    <col min="13" max="13" width="29.1796875" style="1" bestFit="1" customWidth="1"/>
    <col min="14" max="14" width="22.81640625" style="1" customWidth="1"/>
    <col min="15" max="15" width="14.26953125" style="2" customWidth="1"/>
    <col min="16" max="16" width="48" style="1" customWidth="1"/>
    <col min="17" max="17" width="50.81640625" style="1" bestFit="1" customWidth="1"/>
    <col min="18" max="18" width="49.1796875" style="1" bestFit="1" customWidth="1"/>
    <col min="19" max="19" width="19.453125" style="1" customWidth="1"/>
    <col min="20" max="21" width="19.54296875" style="1" customWidth="1"/>
    <col min="22" max="28" width="8.7265625" style="1"/>
    <col min="29" max="30" width="22.54296875" style="1" customWidth="1"/>
    <col min="31" max="31" width="33.90625" style="1" customWidth="1"/>
    <col min="32" max="32" width="22.54296875" style="1" customWidth="1"/>
    <col min="33" max="16384" width="8.7265625" style="1"/>
  </cols>
  <sheetData>
    <row r="1" spans="1:32" ht="18" x14ac:dyDescent="0.3">
      <c r="A1" s="3" t="s">
        <v>421</v>
      </c>
      <c r="B1" s="3" t="s">
        <v>422</v>
      </c>
      <c r="C1" s="3" t="s">
        <v>423</v>
      </c>
      <c r="D1" s="3" t="s">
        <v>424</v>
      </c>
      <c r="E1" s="3" t="s">
        <v>99</v>
      </c>
      <c r="F1" s="3" t="s">
        <v>425</v>
      </c>
      <c r="G1" s="3" t="s">
        <v>93</v>
      </c>
      <c r="H1" s="3" t="s">
        <v>426</v>
      </c>
      <c r="I1" s="3" t="s">
        <v>427</v>
      </c>
      <c r="J1" s="66" t="s">
        <v>428</v>
      </c>
      <c r="K1" s="66" t="s">
        <v>429</v>
      </c>
      <c r="L1" s="66" t="s">
        <v>430</v>
      </c>
      <c r="M1" s="66" t="s">
        <v>431</v>
      </c>
      <c r="N1" s="66" t="s">
        <v>432</v>
      </c>
      <c r="O1" s="66" t="s">
        <v>433</v>
      </c>
      <c r="P1" s="66" t="s">
        <v>434</v>
      </c>
      <c r="Q1" s="66" t="s">
        <v>435</v>
      </c>
      <c r="R1" s="76" t="s">
        <v>436</v>
      </c>
      <c r="S1" s="76" t="s">
        <v>50</v>
      </c>
      <c r="T1" s="76" t="s">
        <v>437</v>
      </c>
      <c r="U1" s="76" t="s">
        <v>438</v>
      </c>
      <c r="V1" s="76" t="s">
        <v>439</v>
      </c>
      <c r="AC1" s="108" t="s">
        <v>440</v>
      </c>
      <c r="AD1" s="108" t="s">
        <v>441</v>
      </c>
      <c r="AE1" s="1">
        <v>40</v>
      </c>
    </row>
    <row r="2" spans="1:32" ht="22.5" customHeight="1" x14ac:dyDescent="0.35">
      <c r="A2" s="65" t="s">
        <v>442</v>
      </c>
      <c r="B2" s="67" t="s">
        <v>443</v>
      </c>
      <c r="C2" s="65" t="s">
        <v>444</v>
      </c>
      <c r="D2" s="77" t="s">
        <v>445</v>
      </c>
      <c r="E2" s="65" t="s">
        <v>446</v>
      </c>
      <c r="F2" s="65" t="s">
        <v>445</v>
      </c>
      <c r="G2" s="65" t="s">
        <v>102</v>
      </c>
      <c r="H2" s="65" t="s">
        <v>71</v>
      </c>
      <c r="I2" s="67">
        <v>1</v>
      </c>
      <c r="J2" s="67" t="s">
        <v>447</v>
      </c>
      <c r="K2" s="67" t="s">
        <v>611</v>
      </c>
      <c r="L2" s="125">
        <v>0.13519999999999999</v>
      </c>
      <c r="M2" s="67" t="s">
        <v>611</v>
      </c>
      <c r="N2" s="123">
        <v>0</v>
      </c>
      <c r="O2" s="67" t="s">
        <v>448</v>
      </c>
      <c r="P2" s="65" t="s">
        <v>449</v>
      </c>
      <c r="Q2" s="65" t="s">
        <v>450</v>
      </c>
      <c r="R2" s="75" t="str">
        <f>IF(ApplSector="Industrial","Plant",IF(ApplSector="Commercial","Building","Plant"))&amp;" Wide Audit"</f>
        <v>Building Wide Audit</v>
      </c>
      <c r="S2" s="75" t="s">
        <v>451</v>
      </c>
      <c r="T2" s="75">
        <f>61.15/1000</f>
        <v>6.1149999999999996E-2</v>
      </c>
      <c r="U2" s="75"/>
      <c r="V2" s="75" t="s">
        <v>99</v>
      </c>
      <c r="W2" s="1" t="str">
        <f>TRIM(Variables[[#This Row],[Industry Type]])</f>
        <v>Aluminum</v>
      </c>
      <c r="AC2" s="109" t="s">
        <v>451</v>
      </c>
      <c r="AD2" s="108">
        <v>2.5309999999999999E-2</v>
      </c>
      <c r="AE2" s="1">
        <f>+AD2*$AE$1</f>
        <v>1.0124</v>
      </c>
    </row>
    <row r="3" spans="1:32" ht="22.5" customHeight="1" x14ac:dyDescent="0.35">
      <c r="A3" s="65" t="s">
        <v>452</v>
      </c>
      <c r="B3" s="67" t="s">
        <v>453</v>
      </c>
      <c r="C3" s="65" t="s">
        <v>454</v>
      </c>
      <c r="D3" s="77" t="s">
        <v>455</v>
      </c>
      <c r="E3" s="65" t="s">
        <v>102</v>
      </c>
      <c r="F3" s="65" t="s">
        <v>455</v>
      </c>
      <c r="G3" s="65" t="s">
        <v>456</v>
      </c>
      <c r="H3" s="65" t="s">
        <v>72</v>
      </c>
      <c r="I3" s="67">
        <v>2</v>
      </c>
      <c r="J3" s="67" t="s">
        <v>457</v>
      </c>
      <c r="K3" s="67" t="s">
        <v>612</v>
      </c>
      <c r="L3" s="126">
        <v>0.10440000000000001</v>
      </c>
      <c r="M3" s="67" t="s">
        <v>612</v>
      </c>
      <c r="N3" s="124">
        <v>5.83</v>
      </c>
      <c r="O3" s="67" t="s">
        <v>458</v>
      </c>
      <c r="P3" s="65" t="s">
        <v>459</v>
      </c>
      <c r="Q3" s="65" t="s">
        <v>460</v>
      </c>
      <c r="R3" s="75" t="s">
        <v>461</v>
      </c>
      <c r="S3" s="75" t="s">
        <v>462</v>
      </c>
      <c r="T3" s="75">
        <f>49.87/1000</f>
        <v>4.9869999999999998E-2</v>
      </c>
      <c r="U3" s="75"/>
      <c r="V3" s="75" t="s">
        <v>93</v>
      </c>
      <c r="W3" s="1" t="str">
        <f>TRIM(Variables[[#This Row],[Industry Type]])</f>
        <v>Cement</v>
      </c>
      <c r="AC3" s="107" t="s">
        <v>462</v>
      </c>
      <c r="AD3" s="110">
        <v>3.8250000000000001E-5</v>
      </c>
      <c r="AE3" s="1">
        <f t="shared" ref="AE3:AE7" si="0">+AD3*$AE$1</f>
        <v>1.5300000000000001E-3</v>
      </c>
      <c r="AF3" s="110"/>
    </row>
    <row r="4" spans="1:32" ht="22.5" customHeight="1" x14ac:dyDescent="0.35">
      <c r="A4" s="65" t="s">
        <v>463</v>
      </c>
      <c r="B4" s="67" t="s">
        <v>464</v>
      </c>
      <c r="C4" s="65" t="s">
        <v>465</v>
      </c>
      <c r="D4" s="77" t="s">
        <v>466</v>
      </c>
      <c r="E4" s="65" t="s">
        <v>467</v>
      </c>
      <c r="F4" s="65" t="s">
        <v>466</v>
      </c>
      <c r="G4" s="65" t="s">
        <v>468</v>
      </c>
      <c r="H4" s="65" t="s">
        <v>722</v>
      </c>
      <c r="I4" s="67">
        <v>3</v>
      </c>
      <c r="J4" s="67"/>
      <c r="K4" s="67" t="s">
        <v>613</v>
      </c>
      <c r="L4" s="126">
        <v>6.5299999999999997E-2</v>
      </c>
      <c r="M4" s="67" t="s">
        <v>613</v>
      </c>
      <c r="N4" s="124">
        <v>13.3</v>
      </c>
      <c r="O4" s="67"/>
      <c r="P4" s="65" t="s">
        <v>469</v>
      </c>
      <c r="Q4" s="65" t="s">
        <v>470</v>
      </c>
      <c r="R4" s="75" t="s">
        <v>471</v>
      </c>
      <c r="S4" s="75" t="s">
        <v>472</v>
      </c>
      <c r="T4" s="75">
        <f>70.62/1000</f>
        <v>7.0620000000000002E-2</v>
      </c>
      <c r="U4" s="75"/>
      <c r="V4" s="75"/>
      <c r="W4" s="1" t="str">
        <f>TRIM(Variables[[#This Row],[Industry Type]])</f>
        <v>Chemical</v>
      </c>
      <c r="AC4" s="109" t="s">
        <v>472</v>
      </c>
      <c r="AD4" s="108">
        <v>3.8300000000000001E-2</v>
      </c>
      <c r="AE4" s="1">
        <f t="shared" si="0"/>
        <v>1.532</v>
      </c>
    </row>
    <row r="5" spans="1:32" ht="22.5" customHeight="1" x14ac:dyDescent="0.3">
      <c r="A5" s="65" t="s">
        <v>473</v>
      </c>
      <c r="B5" s="67"/>
      <c r="C5" s="65" t="s">
        <v>474</v>
      </c>
      <c r="D5" s="77" t="s">
        <v>475</v>
      </c>
      <c r="E5" s="65" t="s">
        <v>476</v>
      </c>
      <c r="F5" s="65" t="s">
        <v>475</v>
      </c>
      <c r="G5" s="65" t="s">
        <v>477</v>
      </c>
      <c r="H5" s="154"/>
      <c r="I5" s="67">
        <v>4</v>
      </c>
      <c r="J5" s="67"/>
      <c r="K5" s="67" t="s">
        <v>776</v>
      </c>
      <c r="L5" s="281">
        <v>0.1263</v>
      </c>
      <c r="M5" s="67"/>
      <c r="N5" s="69"/>
      <c r="O5" s="67"/>
      <c r="P5" s="65" t="s">
        <v>478</v>
      </c>
      <c r="Q5" s="65" t="s">
        <v>479</v>
      </c>
      <c r="R5" s="75"/>
      <c r="S5" s="75" t="s">
        <v>480</v>
      </c>
      <c r="T5" s="75">
        <f>65.22/1000</f>
        <v>6.522E-2</v>
      </c>
      <c r="U5" s="75"/>
      <c r="V5" s="75"/>
      <c r="W5" s="1" t="str">
        <f>TRIM(Variables[[#This Row],[Industry Type]])</f>
        <v>Fabricated metal products</v>
      </c>
      <c r="AC5" s="109" t="s">
        <v>480</v>
      </c>
      <c r="AD5" s="108">
        <v>3.5000000000000003E-2</v>
      </c>
      <c r="AE5" s="1">
        <f t="shared" si="0"/>
        <v>1.4000000000000001</v>
      </c>
    </row>
    <row r="6" spans="1:32" ht="22.5" customHeight="1" x14ac:dyDescent="0.3">
      <c r="A6" s="65" t="s">
        <v>481</v>
      </c>
      <c r="B6" s="67"/>
      <c r="C6" s="65" t="s">
        <v>482</v>
      </c>
      <c r="D6" s="77" t="s">
        <v>483</v>
      </c>
      <c r="E6" s="65" t="s">
        <v>484</v>
      </c>
      <c r="F6" s="65" t="s">
        <v>483</v>
      </c>
      <c r="G6" s="65" t="s">
        <v>485</v>
      </c>
      <c r="H6" s="154"/>
      <c r="I6" s="67">
        <v>5</v>
      </c>
      <c r="J6" s="67"/>
      <c r="K6" s="67"/>
      <c r="L6" s="68"/>
      <c r="M6" s="67"/>
      <c r="N6" s="69"/>
      <c r="O6" s="67"/>
      <c r="P6" s="65" t="s">
        <v>486</v>
      </c>
      <c r="Q6" s="65" t="s">
        <v>487</v>
      </c>
      <c r="R6" s="75"/>
      <c r="S6" s="75" t="s">
        <v>488</v>
      </c>
      <c r="T6" s="75">
        <v>6.837E-2</v>
      </c>
      <c r="U6" s="75"/>
      <c r="V6" s="75"/>
      <c r="W6" s="1" t="str">
        <f>TRIM(Variables[[#This Row],[Industry Type]])</f>
        <v>Food, Beverage and tabaco products</v>
      </c>
      <c r="AC6" s="109" t="s">
        <v>488</v>
      </c>
      <c r="AD6" s="108">
        <v>3.8800000000000001E-2</v>
      </c>
      <c r="AE6" s="1">
        <f t="shared" si="0"/>
        <v>1.552</v>
      </c>
    </row>
    <row r="7" spans="1:32" ht="22.5" customHeight="1" x14ac:dyDescent="0.3">
      <c r="A7" s="65" t="s">
        <v>489</v>
      </c>
      <c r="B7" s="67"/>
      <c r="C7" s="65" t="s">
        <v>490</v>
      </c>
      <c r="D7" s="77" t="s">
        <v>491</v>
      </c>
      <c r="E7" s="65" t="s">
        <v>492</v>
      </c>
      <c r="F7" s="65" t="s">
        <v>491</v>
      </c>
      <c r="G7" s="65" t="s">
        <v>493</v>
      </c>
      <c r="H7" s="65"/>
      <c r="I7" s="67"/>
      <c r="J7" s="67"/>
      <c r="K7" s="67"/>
      <c r="L7" s="68"/>
      <c r="M7" s="67"/>
      <c r="N7" s="69"/>
      <c r="O7" s="67"/>
      <c r="P7" s="65" t="s">
        <v>494</v>
      </c>
      <c r="Q7" s="65" t="s">
        <v>495</v>
      </c>
      <c r="R7" s="75"/>
      <c r="S7" s="75" t="s">
        <v>496</v>
      </c>
      <c r="T7" s="75">
        <v>7.4740000000000001E-2</v>
      </c>
      <c r="U7" s="75"/>
      <c r="V7" s="75"/>
      <c r="W7" s="1" t="str">
        <f>TRIM(Variables[[#This Row],[Industry Type]])</f>
        <v>Foundries</v>
      </c>
      <c r="AC7" s="109" t="s">
        <v>496</v>
      </c>
      <c r="AD7" s="108">
        <v>4.2500000000000003E-2</v>
      </c>
      <c r="AE7" s="1">
        <f t="shared" si="0"/>
        <v>1.7000000000000002</v>
      </c>
    </row>
    <row r="8" spans="1:32" ht="22.5" customHeight="1" x14ac:dyDescent="0.3">
      <c r="A8" s="65" t="s">
        <v>497</v>
      </c>
      <c r="B8" s="67"/>
      <c r="C8" s="65" t="s">
        <v>498</v>
      </c>
      <c r="D8" s="77" t="s">
        <v>499</v>
      </c>
      <c r="E8" s="65" t="s">
        <v>500</v>
      </c>
      <c r="F8" s="65" t="s">
        <v>499</v>
      </c>
      <c r="G8" s="65" t="s">
        <v>501</v>
      </c>
      <c r="H8" s="64" t="s">
        <v>502</v>
      </c>
      <c r="I8" s="67"/>
      <c r="J8" s="67"/>
      <c r="K8" s="67"/>
      <c r="L8" s="68"/>
      <c r="M8" s="67"/>
      <c r="N8" s="69"/>
      <c r="O8" s="67"/>
      <c r="P8" s="65" t="s">
        <v>503</v>
      </c>
      <c r="Q8" s="65" t="s">
        <v>504</v>
      </c>
      <c r="R8" s="75"/>
      <c r="S8" s="75"/>
      <c r="T8" s="75"/>
      <c r="U8" s="75"/>
      <c r="V8" s="75"/>
      <c r="W8" s="1" t="str">
        <f>TRIM(Variables[[#This Row],[Industry Type]])</f>
        <v>Glass Products</v>
      </c>
    </row>
    <row r="9" spans="1:32" ht="22.5" customHeight="1" x14ac:dyDescent="0.3">
      <c r="A9" s="65" t="s">
        <v>505</v>
      </c>
      <c r="B9" s="67"/>
      <c r="C9" s="65"/>
      <c r="D9" s="77" t="s">
        <v>506</v>
      </c>
      <c r="E9" s="65" t="s">
        <v>507</v>
      </c>
      <c r="F9" s="65" t="s">
        <v>506</v>
      </c>
      <c r="G9" s="65" t="s">
        <v>122</v>
      </c>
      <c r="H9" s="67" t="s">
        <v>508</v>
      </c>
      <c r="I9" s="67"/>
      <c r="J9" s="67"/>
      <c r="K9" s="67"/>
      <c r="L9" s="68"/>
      <c r="M9" s="67"/>
      <c r="N9" s="69"/>
      <c r="O9" s="67"/>
      <c r="P9" s="65" t="s">
        <v>509</v>
      </c>
      <c r="Q9" s="65" t="s">
        <v>510</v>
      </c>
      <c r="R9" s="75"/>
      <c r="S9" s="75"/>
      <c r="T9" s="75"/>
      <c r="U9" s="75"/>
      <c r="V9" s="75"/>
      <c r="W9" s="1" t="str">
        <f>TRIM(Variables[[#This Row],[Industry Type]])</f>
        <v>Heavy Machinery</v>
      </c>
    </row>
    <row r="10" spans="1:32" ht="22.5" customHeight="1" x14ac:dyDescent="0.3">
      <c r="A10" s="65" t="s">
        <v>511</v>
      </c>
      <c r="B10" s="67"/>
      <c r="C10" s="65"/>
      <c r="D10" s="77" t="s">
        <v>512</v>
      </c>
      <c r="E10" s="65" t="s">
        <v>513</v>
      </c>
      <c r="F10" s="65" t="s">
        <v>512</v>
      </c>
      <c r="G10" s="65" t="s">
        <v>125</v>
      </c>
      <c r="H10" s="67" t="s">
        <v>514</v>
      </c>
      <c r="I10" s="67"/>
      <c r="J10" s="67"/>
      <c r="K10" s="67"/>
      <c r="L10" s="68"/>
      <c r="M10" s="67"/>
      <c r="N10" s="69"/>
      <c r="O10" s="67"/>
      <c r="P10" s="65" t="s">
        <v>515</v>
      </c>
      <c r="Q10" s="65" t="s">
        <v>516</v>
      </c>
      <c r="R10" s="75"/>
      <c r="S10" s="75" t="s">
        <v>517</v>
      </c>
      <c r="T10" s="75">
        <f t="shared" ref="T10" si="1">11.5/1000000</f>
        <v>1.15E-5</v>
      </c>
      <c r="U10" s="75"/>
      <c r="V10" s="75"/>
      <c r="W10" s="1" t="str">
        <f>TRIM(Variables[[#This Row],[Industry Type]])</f>
        <v>Integrated Steel</v>
      </c>
    </row>
    <row r="11" spans="1:32" ht="22.5" customHeight="1" x14ac:dyDescent="0.3">
      <c r="A11" s="65" t="s">
        <v>74</v>
      </c>
      <c r="B11" s="67"/>
      <c r="C11" s="65"/>
      <c r="D11" s="77" t="s">
        <v>518</v>
      </c>
      <c r="E11" s="65" t="s">
        <v>519</v>
      </c>
      <c r="F11" s="65" t="s">
        <v>518</v>
      </c>
      <c r="G11" s="65" t="s">
        <v>104</v>
      </c>
      <c r="H11" s="67" t="s">
        <v>520</v>
      </c>
      <c r="I11" s="67"/>
      <c r="J11" s="67"/>
      <c r="K11" s="67"/>
      <c r="L11" s="68"/>
      <c r="M11" s="67"/>
      <c r="N11" s="69"/>
      <c r="O11" s="67"/>
      <c r="P11" s="65" t="s">
        <v>521</v>
      </c>
      <c r="Q11" s="65" t="s">
        <v>522</v>
      </c>
      <c r="R11" s="75"/>
      <c r="S11" s="75"/>
      <c r="T11" s="75"/>
      <c r="U11" s="75"/>
      <c r="V11" s="75"/>
      <c r="W11" s="1" t="str">
        <f>TRIM(Variables[[#This Row],[Industry Type]])</f>
        <v>Mining</v>
      </c>
    </row>
    <row r="12" spans="1:32" ht="22.5" customHeight="1" x14ac:dyDescent="0.3">
      <c r="A12" s="65"/>
      <c r="B12" s="67"/>
      <c r="C12" s="65"/>
      <c r="D12" s="77" t="s">
        <v>523</v>
      </c>
      <c r="E12" s="65" t="s">
        <v>125</v>
      </c>
      <c r="F12" s="65" t="s">
        <v>523</v>
      </c>
      <c r="G12" s="65" t="s">
        <v>524</v>
      </c>
      <c r="H12" s="67"/>
      <c r="I12" s="67"/>
      <c r="J12" s="67"/>
      <c r="K12" s="67"/>
      <c r="L12" s="68"/>
      <c r="M12" s="67"/>
      <c r="N12" s="69"/>
      <c r="O12" s="67"/>
      <c r="P12" s="65" t="s">
        <v>525</v>
      </c>
      <c r="Q12" s="65" t="s">
        <v>526</v>
      </c>
      <c r="R12" s="75"/>
      <c r="S12" s="75"/>
      <c r="T12" s="75"/>
      <c r="U12" s="75"/>
      <c r="V12" s="75"/>
      <c r="W12" s="1" t="str">
        <f>TRIM(Variables[[#This Row],[Industry Type]])</f>
        <v>Petroleum Refinig</v>
      </c>
    </row>
    <row r="13" spans="1:32" ht="22.5" customHeight="1" x14ac:dyDescent="0.3">
      <c r="A13" s="65"/>
      <c r="B13" s="67"/>
      <c r="C13" s="65"/>
      <c r="D13" s="77" t="s">
        <v>527</v>
      </c>
      <c r="E13" s="65" t="s">
        <v>528</v>
      </c>
      <c r="F13" s="65" t="s">
        <v>527</v>
      </c>
      <c r="G13" s="65" t="s">
        <v>420</v>
      </c>
      <c r="H13" s="67" t="s">
        <v>529</v>
      </c>
      <c r="I13" s="67"/>
      <c r="J13" s="67"/>
      <c r="K13" s="67"/>
      <c r="L13" s="68"/>
      <c r="M13" s="67"/>
      <c r="N13" s="69"/>
      <c r="O13" s="67"/>
      <c r="P13" s="65" t="s">
        <v>530</v>
      </c>
      <c r="Q13" s="65" t="s">
        <v>531</v>
      </c>
      <c r="R13" s="75"/>
      <c r="S13" s="75"/>
      <c r="T13" s="75"/>
      <c r="U13" s="75"/>
      <c r="V13" s="75"/>
      <c r="W13" s="1" t="str">
        <f>TRIM(Variables[[#This Row],[Industry Type]])</f>
        <v>Plastic and rubber Products</v>
      </c>
    </row>
    <row r="14" spans="1:32" ht="22.5" customHeight="1" x14ac:dyDescent="0.3">
      <c r="A14" s="65"/>
      <c r="B14" s="67"/>
      <c r="C14" s="65"/>
      <c r="D14" s="77" t="s">
        <v>532</v>
      </c>
      <c r="E14" s="65" t="s">
        <v>533</v>
      </c>
      <c r="F14" s="65" t="s">
        <v>534</v>
      </c>
      <c r="G14" s="65" t="s">
        <v>535</v>
      </c>
      <c r="H14" s="67" t="s">
        <v>536</v>
      </c>
      <c r="I14" s="67"/>
      <c r="J14" s="67"/>
      <c r="K14" s="67"/>
      <c r="L14" s="68"/>
      <c r="M14" s="67"/>
      <c r="N14" s="69"/>
      <c r="O14" s="67"/>
      <c r="P14" s="65" t="s">
        <v>537</v>
      </c>
      <c r="Q14" s="65" t="s">
        <v>538</v>
      </c>
      <c r="R14" s="75"/>
      <c r="S14" s="75"/>
      <c r="T14" s="75"/>
      <c r="U14" s="75"/>
      <c r="V14" s="75"/>
      <c r="W14" s="1" t="str">
        <f>TRIM(Variables[[#This Row],[Industry Type]])</f>
        <v>Textile and Apparels and Leather goods</v>
      </c>
    </row>
    <row r="15" spans="1:32" ht="22.5" customHeight="1" x14ac:dyDescent="0.3">
      <c r="A15" s="65"/>
      <c r="B15" s="67"/>
      <c r="C15" s="65"/>
      <c r="D15" s="77" t="s">
        <v>539</v>
      </c>
      <c r="E15" s="65" t="s">
        <v>420</v>
      </c>
      <c r="F15" s="65" t="s">
        <v>540</v>
      </c>
      <c r="G15" s="65" t="s">
        <v>541</v>
      </c>
      <c r="H15" s="67" t="s">
        <v>542</v>
      </c>
      <c r="I15" s="67"/>
      <c r="J15" s="67"/>
      <c r="K15" s="67"/>
      <c r="L15" s="67"/>
      <c r="M15" s="67"/>
      <c r="N15" s="67"/>
      <c r="O15" s="67"/>
      <c r="P15" s="65" t="s">
        <v>543</v>
      </c>
      <c r="Q15" s="65" t="s">
        <v>544</v>
      </c>
      <c r="R15" s="75"/>
      <c r="S15" s="75"/>
      <c r="T15" s="75"/>
      <c r="U15" s="75"/>
      <c r="V15" s="75"/>
      <c r="W15" s="1" t="str">
        <f>TRIM(Variables[[#This Row],[Industry Type]])</f>
        <v>Transportation equipment</v>
      </c>
    </row>
    <row r="16" spans="1:32" ht="22.5" customHeight="1" x14ac:dyDescent="0.3">
      <c r="A16" s="65"/>
      <c r="B16" s="67"/>
      <c r="C16" s="65"/>
      <c r="D16" s="77" t="s">
        <v>74</v>
      </c>
      <c r="E16" s="65" t="s">
        <v>524</v>
      </c>
      <c r="F16" s="65" t="s">
        <v>545</v>
      </c>
      <c r="G16" s="65" t="s">
        <v>546</v>
      </c>
      <c r="H16" s="67" t="s">
        <v>547</v>
      </c>
      <c r="I16" s="67"/>
      <c r="J16" s="67"/>
      <c r="K16" s="67"/>
      <c r="L16" s="67"/>
      <c r="M16" s="67"/>
      <c r="N16" s="67"/>
      <c r="O16" s="67"/>
      <c r="P16" s="65" t="s">
        <v>548</v>
      </c>
      <c r="Q16" s="65" t="s">
        <v>549</v>
      </c>
      <c r="R16" s="75"/>
      <c r="S16" s="75"/>
      <c r="T16" s="75"/>
      <c r="U16" s="75"/>
      <c r="V16" s="75"/>
      <c r="W16" s="1" t="str">
        <f>TRIM(Variables[[#This Row],[Industry Type]])</f>
        <v>Wood products, Pulp and Paper</v>
      </c>
    </row>
    <row r="17" spans="1:31" ht="22.5" customHeight="1" x14ac:dyDescent="0.3">
      <c r="A17" s="65"/>
      <c r="B17" s="67"/>
      <c r="C17" s="65"/>
      <c r="D17" s="65"/>
      <c r="E17" s="65" t="s">
        <v>535</v>
      </c>
      <c r="F17" s="65"/>
      <c r="G17" s="65"/>
      <c r="H17" s="67" t="s">
        <v>550</v>
      </c>
      <c r="I17" s="67"/>
      <c r="J17" s="67"/>
      <c r="K17" s="67"/>
      <c r="L17" s="67"/>
      <c r="M17" s="67"/>
      <c r="N17" s="67"/>
      <c r="O17" s="67"/>
      <c r="P17" s="65" t="s">
        <v>74</v>
      </c>
      <c r="Q17" s="65" t="s">
        <v>551</v>
      </c>
      <c r="R17" s="75"/>
      <c r="S17" s="75"/>
      <c r="T17" s="75"/>
      <c r="U17" s="75"/>
      <c r="V17" s="75"/>
    </row>
    <row r="18" spans="1:31" ht="22.5" customHeight="1" x14ac:dyDescent="0.3">
      <c r="A18" s="65"/>
      <c r="B18" s="67"/>
      <c r="C18" s="65"/>
      <c r="D18" s="65"/>
      <c r="E18" s="65" t="s">
        <v>541</v>
      </c>
      <c r="F18" s="65"/>
      <c r="G18" s="65"/>
      <c r="H18" s="67" t="s">
        <v>520</v>
      </c>
      <c r="I18" s="67"/>
      <c r="J18" s="67"/>
      <c r="K18" s="67"/>
      <c r="L18" s="67"/>
      <c r="M18" s="67"/>
      <c r="N18" s="67"/>
      <c r="O18" s="67"/>
      <c r="P18" s="65"/>
      <c r="Q18" s="65" t="s">
        <v>552</v>
      </c>
      <c r="R18" s="75"/>
      <c r="S18" s="75"/>
      <c r="T18" s="75"/>
      <c r="U18" s="75"/>
      <c r="V18" s="75"/>
      <c r="W18" s="1" t="s">
        <v>458</v>
      </c>
    </row>
    <row r="19" spans="1:31" ht="22.5" customHeight="1" x14ac:dyDescent="0.3">
      <c r="A19" s="65"/>
      <c r="B19" s="67"/>
      <c r="C19" s="65"/>
      <c r="D19" s="65"/>
      <c r="E19" s="65" t="s">
        <v>534</v>
      </c>
      <c r="F19" s="65"/>
      <c r="G19" s="65"/>
      <c r="H19" s="67"/>
      <c r="I19" s="67"/>
      <c r="J19" s="67"/>
      <c r="K19" s="67"/>
      <c r="L19" s="67"/>
      <c r="M19" s="67"/>
      <c r="N19" s="67"/>
      <c r="O19" s="67"/>
      <c r="P19" s="65"/>
      <c r="Q19" s="65" t="s">
        <v>553</v>
      </c>
      <c r="R19" s="75"/>
      <c r="S19" s="75"/>
      <c r="T19" s="75"/>
      <c r="U19" s="75"/>
      <c r="V19" s="75"/>
      <c r="W19" s="1" t="s">
        <v>448</v>
      </c>
    </row>
    <row r="20" spans="1:31" ht="22.5" customHeight="1" x14ac:dyDescent="0.3">
      <c r="A20" s="65"/>
      <c r="B20" s="67"/>
      <c r="C20" s="65"/>
      <c r="D20" s="65"/>
      <c r="E20" s="65" t="s">
        <v>540</v>
      </c>
      <c r="F20" s="65"/>
      <c r="G20" s="65"/>
      <c r="H20" s="67" t="s">
        <v>554</v>
      </c>
      <c r="I20" s="67"/>
      <c r="J20" s="67"/>
      <c r="K20" s="67"/>
      <c r="L20" s="67"/>
      <c r="M20" s="67"/>
      <c r="N20" s="67"/>
      <c r="O20" s="67"/>
      <c r="P20" s="65"/>
      <c r="Q20" s="65" t="s">
        <v>555</v>
      </c>
      <c r="R20" s="75"/>
      <c r="S20" s="75"/>
      <c r="T20" s="75"/>
      <c r="U20" s="75"/>
      <c r="V20" s="75"/>
    </row>
    <row r="21" spans="1:31" ht="22.5" customHeight="1" x14ac:dyDescent="0.3">
      <c r="A21" s="65"/>
      <c r="B21" s="67"/>
      <c r="C21" s="65"/>
      <c r="D21" s="65"/>
      <c r="E21" s="65"/>
      <c r="F21" s="65"/>
      <c r="G21" s="65"/>
      <c r="H21" s="67" t="s">
        <v>556</v>
      </c>
      <c r="I21" s="67"/>
      <c r="J21" s="67"/>
      <c r="K21" s="67"/>
      <c r="L21" s="67"/>
      <c r="M21" s="67"/>
      <c r="N21" s="67"/>
      <c r="O21" s="67"/>
      <c r="P21" s="65"/>
      <c r="Q21" s="65" t="s">
        <v>557</v>
      </c>
      <c r="R21" s="75"/>
      <c r="S21" s="75"/>
      <c r="T21" s="75"/>
      <c r="U21" s="75"/>
      <c r="V21" s="75"/>
    </row>
    <row r="22" spans="1:31" ht="22.5" customHeight="1" x14ac:dyDescent="0.3">
      <c r="A22" s="65"/>
      <c r="B22" s="67"/>
      <c r="C22" s="65"/>
      <c r="D22" s="65"/>
      <c r="E22" s="65"/>
      <c r="F22" s="65"/>
      <c r="G22" s="65"/>
      <c r="H22" s="67" t="s">
        <v>558</v>
      </c>
      <c r="I22" s="67"/>
      <c r="J22" s="67"/>
      <c r="K22" s="67"/>
      <c r="L22" s="67"/>
      <c r="M22" s="67"/>
      <c r="N22" s="67"/>
      <c r="O22" s="67"/>
      <c r="P22" s="65"/>
      <c r="Q22" s="65" t="s">
        <v>559</v>
      </c>
      <c r="R22" s="75"/>
      <c r="S22" s="75"/>
      <c r="T22" s="75"/>
      <c r="U22" s="75"/>
      <c r="V22" s="75"/>
    </row>
    <row r="23" spans="1:31" ht="22.5" customHeight="1" x14ac:dyDescent="0.3">
      <c r="A23" s="65"/>
      <c r="B23" s="67"/>
      <c r="C23" s="65"/>
      <c r="D23" s="65"/>
      <c r="E23" s="65"/>
      <c r="F23" s="65"/>
      <c r="G23" s="65"/>
      <c r="H23" s="67" t="s">
        <v>560</v>
      </c>
      <c r="I23" s="67"/>
      <c r="J23" s="67"/>
      <c r="K23" s="67"/>
      <c r="L23" s="67"/>
      <c r="M23" s="67"/>
      <c r="N23" s="67"/>
      <c r="O23" s="67"/>
      <c r="P23" s="65"/>
      <c r="Q23" s="65" t="s">
        <v>561</v>
      </c>
      <c r="R23" s="75"/>
      <c r="S23" s="75"/>
      <c r="T23" s="75"/>
      <c r="U23" s="75"/>
      <c r="V23" s="75"/>
    </row>
    <row r="24" spans="1:31" ht="22.5" customHeight="1" x14ac:dyDescent="0.3">
      <c r="A24" s="65"/>
      <c r="B24" s="67"/>
      <c r="C24" s="65"/>
      <c r="D24" s="65"/>
      <c r="E24" s="65"/>
      <c r="F24" s="65"/>
      <c r="G24" s="65"/>
      <c r="H24" s="67"/>
      <c r="I24" s="67"/>
      <c r="J24" s="67"/>
      <c r="K24" s="67"/>
      <c r="L24" s="67"/>
      <c r="M24" s="67"/>
      <c r="N24" s="67"/>
      <c r="O24" s="67"/>
      <c r="P24" s="65"/>
      <c r="Q24" s="65" t="s">
        <v>562</v>
      </c>
      <c r="R24" s="75"/>
      <c r="S24" s="75"/>
      <c r="T24" s="75"/>
      <c r="U24" s="75"/>
      <c r="V24" s="75"/>
    </row>
    <row r="25" spans="1:31" ht="22.5" customHeight="1" x14ac:dyDescent="0.3">
      <c r="A25" s="65"/>
      <c r="B25" s="67"/>
      <c r="C25" s="65"/>
      <c r="D25" s="65"/>
      <c r="E25" s="65"/>
      <c r="F25" s="65"/>
      <c r="G25" s="65"/>
      <c r="H25" s="67" t="s">
        <v>563</v>
      </c>
      <c r="I25" s="67"/>
      <c r="J25" s="67"/>
      <c r="K25" s="67"/>
      <c r="L25" s="67"/>
      <c r="M25" s="67"/>
      <c r="N25" s="67"/>
      <c r="O25" s="67"/>
      <c r="P25" s="65"/>
      <c r="Q25" s="65" t="s">
        <v>564</v>
      </c>
      <c r="R25" s="75"/>
      <c r="S25" s="75"/>
      <c r="T25" s="75"/>
      <c r="U25" s="75"/>
      <c r="V25" s="75"/>
    </row>
    <row r="26" spans="1:31" ht="22.5" customHeight="1" x14ac:dyDescent="0.3">
      <c r="A26" s="65"/>
      <c r="B26" s="67"/>
      <c r="C26" s="65"/>
      <c r="D26" s="65"/>
      <c r="E26" s="65"/>
      <c r="F26" s="65"/>
      <c r="G26" s="65"/>
      <c r="H26" s="67" t="s">
        <v>565</v>
      </c>
      <c r="I26" s="67"/>
      <c r="J26" s="67"/>
      <c r="K26" s="67"/>
      <c r="L26" s="67"/>
      <c r="M26" s="67"/>
      <c r="N26" s="67"/>
      <c r="O26" s="67"/>
      <c r="P26" s="65"/>
      <c r="Q26" s="65" t="s">
        <v>566</v>
      </c>
      <c r="R26" s="75"/>
      <c r="S26" s="75"/>
      <c r="T26" s="75"/>
      <c r="U26" s="75"/>
      <c r="V26" s="75"/>
    </row>
    <row r="27" spans="1:31" ht="22.5" customHeight="1" x14ac:dyDescent="0.3">
      <c r="A27" s="65"/>
      <c r="B27" s="67"/>
      <c r="C27" s="65"/>
      <c r="D27" s="65"/>
      <c r="E27" s="65"/>
      <c r="F27" s="65"/>
      <c r="G27" s="65"/>
      <c r="H27" s="67"/>
      <c r="I27" s="67"/>
      <c r="J27" s="67"/>
      <c r="K27" s="67"/>
      <c r="L27" s="67"/>
      <c r="M27" s="67"/>
      <c r="N27" s="67"/>
      <c r="O27" s="67"/>
      <c r="P27" s="65"/>
      <c r="Q27" s="65" t="s">
        <v>567</v>
      </c>
      <c r="R27" s="75"/>
      <c r="S27" s="75"/>
      <c r="T27" s="75"/>
      <c r="U27" s="75"/>
      <c r="V27" s="75"/>
    </row>
    <row r="28" spans="1:31" ht="22.5" customHeight="1" x14ac:dyDescent="0.3">
      <c r="A28" s="65"/>
      <c r="B28" s="67"/>
      <c r="C28" s="65"/>
      <c r="D28" s="65"/>
      <c r="E28" s="65"/>
      <c r="F28" s="65"/>
      <c r="G28" s="65"/>
      <c r="H28" s="67" t="s">
        <v>74</v>
      </c>
      <c r="I28" s="67"/>
      <c r="J28" s="67"/>
      <c r="K28" s="67"/>
      <c r="L28" s="67"/>
      <c r="M28" s="67"/>
      <c r="N28" s="67"/>
      <c r="O28" s="67"/>
      <c r="P28" s="65"/>
      <c r="Q28" s="65" t="s">
        <v>568</v>
      </c>
      <c r="R28" s="75"/>
      <c r="S28" s="75"/>
      <c r="T28" s="75"/>
      <c r="U28" s="75"/>
      <c r="V28" s="75"/>
    </row>
    <row r="29" spans="1:31" ht="22.5" customHeight="1" x14ac:dyDescent="0.3">
      <c r="A29" s="65"/>
      <c r="B29" s="67"/>
      <c r="C29" s="65"/>
      <c r="D29" s="65"/>
      <c r="E29" s="65"/>
      <c r="F29" s="65"/>
      <c r="G29" s="65"/>
      <c r="H29" s="67" t="s">
        <v>565</v>
      </c>
      <c r="I29" s="67"/>
      <c r="J29" s="67"/>
      <c r="K29" s="67"/>
      <c r="L29" s="67"/>
      <c r="M29" s="67"/>
      <c r="N29" s="67"/>
      <c r="O29" s="67"/>
      <c r="P29" s="65"/>
      <c r="Q29" s="65" t="s">
        <v>569</v>
      </c>
      <c r="R29" s="75"/>
      <c r="S29" s="75"/>
      <c r="T29" s="75"/>
      <c r="U29" s="75"/>
      <c r="V29" s="75"/>
      <c r="AC29" s="1" t="s">
        <v>683</v>
      </c>
      <c r="AD29" s="1" t="s">
        <v>688</v>
      </c>
      <c r="AE29" s="1" t="str">
        <f>AC29&amp;" - "&amp;AD29</f>
        <v>Excellent - In new condition or free from defects</v>
      </c>
    </row>
    <row r="30" spans="1:31" ht="22.5" customHeight="1" x14ac:dyDescent="0.3">
      <c r="A30" s="65"/>
      <c r="B30" s="67"/>
      <c r="C30" s="65"/>
      <c r="D30" s="65"/>
      <c r="E30" s="65"/>
      <c r="F30" s="65"/>
      <c r="G30" s="65"/>
      <c r="H30" s="67"/>
      <c r="I30" s="67"/>
      <c r="J30" s="67"/>
      <c r="K30" s="67"/>
      <c r="L30" s="67"/>
      <c r="M30" s="67"/>
      <c r="N30" s="67"/>
      <c r="O30" s="67"/>
      <c r="P30" s="65"/>
      <c r="Q30" s="65" t="s">
        <v>570</v>
      </c>
      <c r="R30" s="75"/>
      <c r="S30" s="75"/>
      <c r="T30" s="75"/>
      <c r="U30" s="75"/>
      <c r="V30" s="75"/>
      <c r="AC30" s="1" t="s">
        <v>684</v>
      </c>
      <c r="AD30" s="1" t="s">
        <v>690</v>
      </c>
      <c r="AE30" s="1" t="str">
        <f t="shared" ref="AE30:AE33" si="2">AC30&amp;" - "&amp;AD30</f>
        <v>Good - No longer new and may show slight defects or deterioration, but is overall functional</v>
      </c>
    </row>
    <row r="31" spans="1:31" ht="22.5" customHeight="1" x14ac:dyDescent="0.3">
      <c r="A31" s="65"/>
      <c r="B31" s="67"/>
      <c r="C31" s="65"/>
      <c r="D31" s="65"/>
      <c r="E31" s="65"/>
      <c r="F31" s="65"/>
      <c r="G31" s="65"/>
      <c r="H31" s="67"/>
      <c r="I31" s="67"/>
      <c r="J31" s="67"/>
      <c r="K31" s="67"/>
      <c r="L31" s="67"/>
      <c r="M31" s="67"/>
      <c r="N31" s="67"/>
      <c r="O31" s="67"/>
      <c r="P31" s="65"/>
      <c r="Q31" s="65" t="s">
        <v>571</v>
      </c>
      <c r="R31" s="75"/>
      <c r="S31" s="75"/>
      <c r="T31" s="75"/>
      <c r="U31" s="75"/>
      <c r="V31" s="75"/>
      <c r="AC31" s="1" t="s">
        <v>685</v>
      </c>
      <c r="AD31" s="1" t="s">
        <v>770</v>
      </c>
      <c r="AE31" s="1" t="str">
        <f t="shared" si="2"/>
        <v>Adequate - Moderate deterioration but with no immediate issues</v>
      </c>
    </row>
    <row r="32" spans="1:31" ht="22.5" customHeight="1" x14ac:dyDescent="0.3">
      <c r="A32" s="65"/>
      <c r="B32" s="67"/>
      <c r="C32" s="65"/>
      <c r="D32" s="65"/>
      <c r="E32" s="65"/>
      <c r="F32" s="65"/>
      <c r="G32" s="65"/>
      <c r="H32" s="67"/>
      <c r="I32" s="67"/>
      <c r="J32" s="67"/>
      <c r="K32" s="67"/>
      <c r="L32" s="67"/>
      <c r="M32" s="67"/>
      <c r="N32" s="67"/>
      <c r="O32" s="67"/>
      <c r="P32" s="65"/>
      <c r="Q32" s="65" t="s">
        <v>572</v>
      </c>
      <c r="R32" s="75"/>
      <c r="S32" s="75"/>
      <c r="T32" s="75"/>
      <c r="U32" s="75"/>
      <c r="V32" s="75"/>
      <c r="AC32" s="1" t="s">
        <v>686</v>
      </c>
      <c r="AD32" s="1" t="s">
        <v>691</v>
      </c>
      <c r="AE32" s="1" t="str">
        <f t="shared" si="2"/>
        <v>Marginal - Nearing the end of its expected life, has defective or deteriorated systems that require replacement</v>
      </c>
    </row>
    <row r="33" spans="1:32" ht="22.5" customHeight="1" x14ac:dyDescent="0.3">
      <c r="A33" s="65"/>
      <c r="B33" s="67"/>
      <c r="C33" s="65"/>
      <c r="D33" s="65"/>
      <c r="E33" s="65"/>
      <c r="F33" s="65"/>
      <c r="G33" s="65"/>
      <c r="H33" s="67"/>
      <c r="I33" s="67"/>
      <c r="J33" s="67"/>
      <c r="K33" s="67"/>
      <c r="L33" s="67"/>
      <c r="M33" s="67"/>
      <c r="N33" s="67"/>
      <c r="O33" s="67"/>
      <c r="P33" s="65"/>
      <c r="Q33" s="65" t="s">
        <v>573</v>
      </c>
      <c r="R33" s="75"/>
      <c r="S33" s="75"/>
      <c r="T33" s="75"/>
      <c r="U33" s="75"/>
      <c r="V33" s="75"/>
      <c r="AC33" s="1" t="s">
        <v>687</v>
      </c>
      <c r="AD33" s="1" t="s">
        <v>689</v>
      </c>
      <c r="AE33" s="1" t="str">
        <f t="shared" si="2"/>
        <v>Poor - Systems has far surpassed its useful life and require repair/replacement</v>
      </c>
    </row>
    <row r="34" spans="1:32" ht="22.5" customHeight="1" x14ac:dyDescent="0.3">
      <c r="A34" s="65"/>
      <c r="B34" s="67"/>
      <c r="C34" s="65"/>
      <c r="D34" s="65"/>
      <c r="E34" s="65"/>
      <c r="F34" s="65"/>
      <c r="G34" s="65"/>
      <c r="H34" s="67"/>
      <c r="I34" s="67"/>
      <c r="J34" s="67"/>
      <c r="K34" s="67"/>
      <c r="L34" s="67"/>
      <c r="M34" s="67"/>
      <c r="N34" s="67"/>
      <c r="O34" s="67"/>
      <c r="P34" s="65"/>
      <c r="Q34" s="65" t="s">
        <v>574</v>
      </c>
      <c r="R34" s="75"/>
      <c r="S34" s="75"/>
      <c r="T34" s="75"/>
      <c r="U34" s="75"/>
      <c r="V34" s="75"/>
    </row>
    <row r="35" spans="1:32" ht="22.5" customHeight="1" x14ac:dyDescent="0.3">
      <c r="A35" s="65"/>
      <c r="B35" s="67"/>
      <c r="C35" s="65"/>
      <c r="D35" s="65"/>
      <c r="E35" s="65"/>
      <c r="F35" s="65"/>
      <c r="G35" s="65"/>
      <c r="H35" s="67"/>
      <c r="I35" s="67"/>
      <c r="J35" s="67"/>
      <c r="K35" s="67"/>
      <c r="L35" s="67"/>
      <c r="M35" s="67"/>
      <c r="N35" s="67"/>
      <c r="O35" s="67"/>
      <c r="P35" s="65"/>
      <c r="Q35" s="65" t="s">
        <v>575</v>
      </c>
      <c r="R35" s="75"/>
      <c r="S35" s="75"/>
      <c r="T35" s="75"/>
      <c r="U35" s="75"/>
      <c r="V35" s="75"/>
    </row>
    <row r="36" spans="1:32" ht="37" customHeight="1" x14ac:dyDescent="0.3">
      <c r="A36" s="65"/>
      <c r="B36" s="67"/>
      <c r="C36" s="65"/>
      <c r="D36" s="65"/>
      <c r="E36" s="65"/>
      <c r="F36" s="65"/>
      <c r="G36" s="65"/>
      <c r="H36" s="67"/>
      <c r="I36" s="67"/>
      <c r="J36" s="67"/>
      <c r="K36" s="67"/>
      <c r="L36" s="67"/>
      <c r="M36" s="67"/>
      <c r="N36" s="67"/>
      <c r="O36" s="67"/>
      <c r="P36" s="65"/>
      <c r="Q36" s="65" t="s">
        <v>576</v>
      </c>
      <c r="R36" s="75"/>
      <c r="S36" s="75"/>
      <c r="T36" s="75"/>
      <c r="U36" s="75"/>
      <c r="V36" s="75"/>
      <c r="AC36" s="148" t="s">
        <v>731</v>
      </c>
      <c r="AD36" s="148" t="s">
        <v>732</v>
      </c>
      <c r="AE36" s="148" t="s">
        <v>722</v>
      </c>
      <c r="AF36" s="148" t="s">
        <v>718</v>
      </c>
    </row>
    <row r="37" spans="1:32" ht="56" customHeight="1" x14ac:dyDescent="0.3">
      <c r="A37" s="65"/>
      <c r="B37" s="67"/>
      <c r="C37" s="65"/>
      <c r="D37" s="65"/>
      <c r="E37" s="65"/>
      <c r="F37" s="65"/>
      <c r="G37" s="65"/>
      <c r="H37" s="67"/>
      <c r="I37" s="67"/>
      <c r="J37" s="67"/>
      <c r="K37" s="67"/>
      <c r="L37" s="67"/>
      <c r="M37" s="67"/>
      <c r="N37" s="67"/>
      <c r="O37" s="67"/>
      <c r="P37" s="65"/>
      <c r="Q37" s="65" t="s">
        <v>577</v>
      </c>
      <c r="R37" s="75"/>
      <c r="S37" s="75"/>
      <c r="T37" s="75"/>
      <c r="U37" s="75"/>
      <c r="V37" s="75"/>
      <c r="AC37" s="147" t="s">
        <v>753</v>
      </c>
      <c r="AD37" s="147" t="s">
        <v>755</v>
      </c>
      <c r="AE37" s="147" t="s">
        <v>720</v>
      </c>
      <c r="AF37" s="147" t="s">
        <v>721</v>
      </c>
    </row>
    <row r="38" spans="1:32" ht="45.5" customHeight="1" x14ac:dyDescent="0.3">
      <c r="A38" s="65"/>
      <c r="B38" s="67"/>
      <c r="C38" s="65"/>
      <c r="D38" s="65"/>
      <c r="E38" s="65"/>
      <c r="F38" s="65"/>
      <c r="G38" s="65"/>
      <c r="H38" s="67"/>
      <c r="I38" s="67"/>
      <c r="J38" s="67"/>
      <c r="K38" s="67"/>
      <c r="L38" s="67"/>
      <c r="M38" s="67"/>
      <c r="N38" s="67"/>
      <c r="O38" s="67"/>
      <c r="P38" s="65"/>
      <c r="Q38" s="65" t="s">
        <v>578</v>
      </c>
      <c r="R38" s="75"/>
      <c r="S38" s="75"/>
      <c r="T38" s="75"/>
      <c r="U38" s="75"/>
      <c r="V38" s="75"/>
      <c r="AC38" s="147" t="s">
        <v>754</v>
      </c>
      <c r="AD38" s="147" t="s">
        <v>756</v>
      </c>
      <c r="AE38" s="147" t="s">
        <v>719</v>
      </c>
      <c r="AF38" s="147" t="s">
        <v>719</v>
      </c>
    </row>
    <row r="39" spans="1:32" ht="63" customHeight="1" x14ac:dyDescent="0.3">
      <c r="A39" s="65"/>
      <c r="B39" s="67"/>
      <c r="C39" s="65"/>
      <c r="D39" s="65"/>
      <c r="E39" s="65"/>
      <c r="F39" s="65"/>
      <c r="G39" s="65"/>
      <c r="H39" s="67"/>
      <c r="I39" s="67"/>
      <c r="J39" s="67"/>
      <c r="K39" s="67"/>
      <c r="L39" s="67"/>
      <c r="M39" s="67"/>
      <c r="N39" s="67"/>
      <c r="O39" s="67"/>
      <c r="P39" s="65"/>
      <c r="Q39" s="65" t="s">
        <v>579</v>
      </c>
      <c r="R39" s="75"/>
      <c r="S39" s="75"/>
      <c r="T39" s="75"/>
      <c r="U39" s="75"/>
      <c r="V39" s="75"/>
      <c r="AC39" s="147" t="s">
        <v>780</v>
      </c>
      <c r="AD39" s="147" t="s">
        <v>781</v>
      </c>
      <c r="AE39" s="147"/>
      <c r="AF39" s="147"/>
    </row>
    <row r="40" spans="1:32" ht="38.5" customHeight="1" x14ac:dyDescent="0.3">
      <c r="A40" s="65"/>
      <c r="B40" s="67"/>
      <c r="C40" s="65"/>
      <c r="D40" s="65"/>
      <c r="E40" s="65"/>
      <c r="F40" s="65"/>
      <c r="G40" s="65"/>
      <c r="H40" s="67"/>
      <c r="I40" s="67"/>
      <c r="J40" s="67"/>
      <c r="K40" s="67"/>
      <c r="L40" s="67"/>
      <c r="M40" s="67"/>
      <c r="N40" s="67"/>
      <c r="O40" s="67"/>
      <c r="P40" s="65"/>
      <c r="Q40" s="65" t="s">
        <v>580</v>
      </c>
      <c r="R40" s="75"/>
      <c r="S40" s="75"/>
      <c r="T40" s="75"/>
      <c r="U40" s="75"/>
      <c r="V40" s="75"/>
      <c r="AC40" s="147" t="s">
        <v>719</v>
      </c>
      <c r="AD40" s="147" t="s">
        <v>782</v>
      </c>
      <c r="AE40" s="147"/>
      <c r="AF40" s="147"/>
    </row>
    <row r="41" spans="1:32" ht="36.5" customHeight="1" x14ac:dyDescent="0.3">
      <c r="A41" s="65"/>
      <c r="B41" s="67"/>
      <c r="C41" s="65"/>
      <c r="D41" s="65"/>
      <c r="E41" s="65"/>
      <c r="F41" s="65"/>
      <c r="G41" s="65"/>
      <c r="H41" s="67"/>
      <c r="I41" s="67"/>
      <c r="J41" s="67"/>
      <c r="K41" s="67"/>
      <c r="L41" s="67"/>
      <c r="M41" s="67"/>
      <c r="N41" s="67"/>
      <c r="O41" s="67"/>
      <c r="P41" s="65"/>
      <c r="Q41" s="65" t="s">
        <v>581</v>
      </c>
      <c r="R41" s="75"/>
      <c r="S41" s="75"/>
      <c r="T41" s="75"/>
      <c r="U41" s="75"/>
      <c r="V41" s="75"/>
      <c r="AC41" s="147"/>
      <c r="AD41" s="147" t="s">
        <v>719</v>
      </c>
    </row>
    <row r="42" spans="1:32" ht="22.5" customHeight="1" x14ac:dyDescent="0.3">
      <c r="A42" s="65"/>
      <c r="B42" s="67"/>
      <c r="C42" s="65"/>
      <c r="D42" s="65"/>
      <c r="E42" s="65"/>
      <c r="F42" s="65"/>
      <c r="G42" s="65"/>
      <c r="H42" s="67"/>
      <c r="I42" s="67"/>
      <c r="J42" s="67"/>
      <c r="K42" s="67"/>
      <c r="L42" s="67"/>
      <c r="M42" s="67"/>
      <c r="N42" s="67"/>
      <c r="O42" s="67"/>
      <c r="P42" s="65"/>
      <c r="Q42" s="65" t="s">
        <v>582</v>
      </c>
      <c r="R42" s="75"/>
      <c r="S42" s="75"/>
      <c r="T42" s="75"/>
      <c r="U42" s="75"/>
      <c r="V42" s="75"/>
    </row>
    <row r="43" spans="1:32" ht="22.5" customHeight="1" x14ac:dyDescent="0.3">
      <c r="A43" s="65"/>
      <c r="B43" s="67"/>
      <c r="C43" s="65"/>
      <c r="D43" s="65"/>
      <c r="E43" s="65"/>
      <c r="F43" s="65"/>
      <c r="G43" s="65"/>
      <c r="H43" s="67"/>
      <c r="I43" s="67"/>
      <c r="J43" s="67"/>
      <c r="K43" s="67"/>
      <c r="L43" s="67"/>
      <c r="M43" s="67"/>
      <c r="N43" s="67"/>
      <c r="O43" s="67"/>
      <c r="P43" s="65"/>
      <c r="Q43" s="65" t="s">
        <v>583</v>
      </c>
      <c r="R43" s="75"/>
      <c r="S43" s="75"/>
      <c r="T43" s="75"/>
      <c r="U43" s="75"/>
      <c r="V43" s="75"/>
    </row>
    <row r="44" spans="1:32" ht="22.5" customHeight="1" x14ac:dyDescent="0.3">
      <c r="A44" s="65"/>
      <c r="B44" s="67"/>
      <c r="C44" s="65"/>
      <c r="D44" s="65"/>
      <c r="E44" s="65"/>
      <c r="F44" s="65"/>
      <c r="G44" s="65"/>
      <c r="H44" s="67"/>
      <c r="I44" s="67"/>
      <c r="J44" s="67"/>
      <c r="K44" s="67"/>
      <c r="L44" s="67"/>
      <c r="M44" s="67"/>
      <c r="N44" s="67"/>
      <c r="O44" s="67"/>
      <c r="P44" s="65"/>
      <c r="Q44" s="65" t="s">
        <v>584</v>
      </c>
      <c r="R44" s="75"/>
      <c r="S44" s="75"/>
      <c r="T44" s="75"/>
      <c r="U44" s="75"/>
      <c r="V44" s="75"/>
    </row>
    <row r="45" spans="1:32" ht="22.5" customHeight="1" x14ac:dyDescent="0.3">
      <c r="A45" s="65"/>
      <c r="B45" s="67"/>
      <c r="C45" s="65"/>
      <c r="D45" s="65"/>
      <c r="E45" s="65"/>
      <c r="F45" s="65"/>
      <c r="G45" s="65"/>
      <c r="H45" s="67"/>
      <c r="I45" s="67"/>
      <c r="J45" s="67"/>
      <c r="K45" s="67"/>
      <c r="L45" s="67"/>
      <c r="M45" s="67"/>
      <c r="N45" s="67"/>
      <c r="O45" s="67"/>
      <c r="P45" s="65"/>
      <c r="Q45" s="65" t="s">
        <v>585</v>
      </c>
      <c r="R45" s="75"/>
      <c r="S45" s="75"/>
      <c r="T45" s="75"/>
      <c r="U45" s="75"/>
      <c r="V45" s="75"/>
    </row>
    <row r="46" spans="1:32" ht="22.5" customHeight="1" x14ac:dyDescent="0.3">
      <c r="A46" s="65"/>
      <c r="B46" s="67"/>
      <c r="C46" s="65"/>
      <c r="D46" s="65"/>
      <c r="E46" s="65"/>
      <c r="F46" s="65"/>
      <c r="G46" s="65"/>
      <c r="H46" s="67"/>
      <c r="I46" s="67"/>
      <c r="J46" s="67"/>
      <c r="K46" s="67"/>
      <c r="L46" s="67"/>
      <c r="M46" s="67"/>
      <c r="N46" s="67"/>
      <c r="O46" s="67"/>
      <c r="P46" s="65"/>
      <c r="Q46" s="65" t="s">
        <v>586</v>
      </c>
      <c r="R46" s="75"/>
      <c r="S46" s="75"/>
      <c r="T46" s="75"/>
      <c r="U46" s="75"/>
      <c r="V46" s="75"/>
    </row>
    <row r="47" spans="1:32" ht="22.5" customHeight="1" x14ac:dyDescent="0.3">
      <c r="A47" s="65"/>
      <c r="B47" s="67"/>
      <c r="C47" s="65"/>
      <c r="D47" s="65"/>
      <c r="E47" s="65"/>
      <c r="F47" s="65"/>
      <c r="G47" s="65"/>
      <c r="H47" s="67"/>
      <c r="I47" s="67"/>
      <c r="J47" s="67"/>
      <c r="K47" s="67"/>
      <c r="L47" s="67"/>
      <c r="M47" s="67"/>
      <c r="N47" s="67"/>
      <c r="O47" s="67"/>
      <c r="P47" s="65"/>
      <c r="Q47" s="65" t="s">
        <v>587</v>
      </c>
      <c r="R47" s="75"/>
      <c r="S47" s="75"/>
      <c r="T47" s="75"/>
      <c r="U47" s="75"/>
      <c r="V47" s="75"/>
    </row>
    <row r="48" spans="1:32" ht="22.5" customHeight="1" x14ac:dyDescent="0.3">
      <c r="A48" s="65"/>
      <c r="B48" s="67"/>
      <c r="C48" s="65"/>
      <c r="D48" s="65"/>
      <c r="E48" s="65"/>
      <c r="F48" s="65"/>
      <c r="G48" s="65"/>
      <c r="H48" s="67"/>
      <c r="I48" s="67"/>
      <c r="J48" s="67"/>
      <c r="K48" s="67"/>
      <c r="L48" s="67"/>
      <c r="M48" s="67"/>
      <c r="N48" s="67"/>
      <c r="O48" s="67"/>
      <c r="P48" s="65"/>
      <c r="Q48" s="93"/>
      <c r="R48" s="75"/>
      <c r="S48" s="75"/>
      <c r="T48" s="75"/>
      <c r="U48" s="75"/>
      <c r="V48" s="75"/>
    </row>
  </sheetData>
  <dataValidations disablePrompts="1" count="1">
    <dataValidation type="list" allowBlank="1" showInputMessage="1" showErrorMessage="1" sqref="AC3" xr:uid="{D1CD6623-205D-4F94-840D-CCBDE5EE7E79}">
      <formula1>$S$2:$S$8</formula1>
    </dataValidation>
  </dataValidations>
  <pageMargins left="0.7" right="0.7" top="0.75" bottom="0.75" header="0.3" footer="0.3"/>
  <pageSetup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D6D6E-A906-4A9B-B918-6931440AB511}">
  <sheetPr codeName="Sheet11">
    <tabColor theme="0" tint="-0.499984740745262"/>
  </sheetPr>
  <dimension ref="A1:G19"/>
  <sheetViews>
    <sheetView topLeftCell="C1" zoomScaleNormal="100" workbookViewId="0">
      <selection activeCell="AD41" sqref="AD41"/>
    </sheetView>
  </sheetViews>
  <sheetFormatPr defaultRowHeight="14.5" x14ac:dyDescent="0.35"/>
  <cols>
    <col min="2" max="2" width="46.7265625" bestFit="1" customWidth="1"/>
    <col min="3" max="3" width="22.453125" customWidth="1"/>
    <col min="4" max="4" width="34.54296875" bestFit="1" customWidth="1"/>
    <col min="5" max="5" width="69" bestFit="1" customWidth="1"/>
    <col min="6" max="6" width="46.7265625" bestFit="1" customWidth="1"/>
    <col min="7" max="7" width="34.6328125" bestFit="1" customWidth="1"/>
    <col min="8" max="8" width="46.7265625" bestFit="1" customWidth="1"/>
    <col min="9" max="9" width="34.54296875" bestFit="1" customWidth="1"/>
    <col min="10" max="10" width="44.7265625" bestFit="1" customWidth="1"/>
  </cols>
  <sheetData>
    <row r="1" spans="1:7" x14ac:dyDescent="0.35">
      <c r="B1" t="s">
        <v>607</v>
      </c>
      <c r="F1" t="s">
        <v>608</v>
      </c>
    </row>
    <row r="2" spans="1:7" x14ac:dyDescent="0.35">
      <c r="A2" s="94" t="s">
        <v>610</v>
      </c>
      <c r="B2" s="119" t="s">
        <v>105</v>
      </c>
      <c r="C2" s="120" t="s">
        <v>100</v>
      </c>
      <c r="D2" s="120" t="s">
        <v>98</v>
      </c>
      <c r="E2" s="120" t="s">
        <v>739</v>
      </c>
      <c r="F2" s="121" t="s">
        <v>616</v>
      </c>
      <c r="G2" s="122" t="s">
        <v>106</v>
      </c>
    </row>
    <row r="3" spans="1:7" x14ac:dyDescent="0.35">
      <c r="B3" s="149" t="s">
        <v>763</v>
      </c>
      <c r="C3" s="149" t="s">
        <v>609</v>
      </c>
      <c r="D3" s="149" t="s">
        <v>765</v>
      </c>
      <c r="E3" s="149" t="s">
        <v>761</v>
      </c>
      <c r="F3" s="150" t="s">
        <v>763</v>
      </c>
      <c r="G3" s="150" t="s">
        <v>765</v>
      </c>
    </row>
    <row r="4" spans="1:7" x14ac:dyDescent="0.35">
      <c r="B4" s="149" t="s">
        <v>764</v>
      </c>
      <c r="C4" s="151" t="s">
        <v>546</v>
      </c>
      <c r="D4" s="149" t="s">
        <v>766</v>
      </c>
      <c r="E4" s="149" t="s">
        <v>337</v>
      </c>
      <c r="F4" s="150" t="s">
        <v>764</v>
      </c>
      <c r="G4" s="150" t="s">
        <v>766</v>
      </c>
    </row>
    <row r="5" spans="1:7" x14ac:dyDescent="0.35">
      <c r="B5" s="151" t="s">
        <v>546</v>
      </c>
      <c r="C5" s="149"/>
      <c r="D5" s="149" t="s">
        <v>769</v>
      </c>
      <c r="E5" s="149" t="s">
        <v>340</v>
      </c>
      <c r="F5" s="151" t="s">
        <v>546</v>
      </c>
      <c r="G5" s="150" t="s">
        <v>769</v>
      </c>
    </row>
    <row r="6" spans="1:7" x14ac:dyDescent="0.35">
      <c r="B6" s="149"/>
      <c r="C6" s="149"/>
      <c r="D6" s="149" t="s">
        <v>767</v>
      </c>
      <c r="E6" s="149" t="s">
        <v>762</v>
      </c>
      <c r="F6" s="150"/>
      <c r="G6" s="150" t="s">
        <v>767</v>
      </c>
    </row>
    <row r="7" spans="1:7" x14ac:dyDescent="0.35">
      <c r="B7" s="149"/>
      <c r="C7" s="149"/>
      <c r="D7" s="149" t="s">
        <v>768</v>
      </c>
      <c r="E7" s="149" t="s">
        <v>641</v>
      </c>
      <c r="F7" s="150"/>
      <c r="G7" s="150" t="s">
        <v>768</v>
      </c>
    </row>
    <row r="8" spans="1:7" x14ac:dyDescent="0.35">
      <c r="B8" s="149"/>
      <c r="C8" s="149"/>
      <c r="D8" s="149" t="s">
        <v>758</v>
      </c>
      <c r="E8" s="151" t="s">
        <v>546</v>
      </c>
      <c r="F8" s="152"/>
      <c r="G8" s="151" t="s">
        <v>546</v>
      </c>
    </row>
    <row r="9" spans="1:7" x14ac:dyDescent="0.35">
      <c r="B9" s="149"/>
      <c r="C9" s="149"/>
      <c r="D9" s="149" t="s">
        <v>759</v>
      </c>
      <c r="E9" s="149"/>
      <c r="F9" s="150"/>
      <c r="G9" s="152"/>
    </row>
    <row r="10" spans="1:7" x14ac:dyDescent="0.35">
      <c r="B10" s="149"/>
      <c r="C10" s="149"/>
      <c r="D10" s="149" t="s">
        <v>760</v>
      </c>
      <c r="E10" s="149"/>
      <c r="F10" s="150"/>
      <c r="G10" s="150"/>
    </row>
    <row r="11" spans="1:7" x14ac:dyDescent="0.35">
      <c r="B11" s="149"/>
      <c r="C11" s="149"/>
      <c r="D11" s="151" t="s">
        <v>546</v>
      </c>
      <c r="E11" s="149"/>
      <c r="F11" s="150"/>
      <c r="G11" s="152"/>
    </row>
    <row r="12" spans="1:7" x14ac:dyDescent="0.35">
      <c r="B12" s="149"/>
      <c r="C12" s="149"/>
      <c r="D12" s="149"/>
      <c r="E12" s="149"/>
      <c r="F12" s="152"/>
      <c r="G12" s="152"/>
    </row>
    <row r="13" spans="1:7" x14ac:dyDescent="0.35">
      <c r="B13" s="149"/>
      <c r="C13" s="149"/>
      <c r="D13" s="149"/>
      <c r="E13" s="149"/>
      <c r="F13" s="152"/>
      <c r="G13" s="152"/>
    </row>
    <row r="14" spans="1:7" x14ac:dyDescent="0.35">
      <c r="B14" s="149"/>
      <c r="C14" s="149"/>
      <c r="D14" s="149"/>
      <c r="E14" s="149"/>
      <c r="F14" s="152"/>
      <c r="G14" s="152"/>
    </row>
    <row r="15" spans="1:7" x14ac:dyDescent="0.35">
      <c r="B15" s="149"/>
      <c r="C15" s="149"/>
      <c r="D15" s="149"/>
      <c r="E15" s="149"/>
      <c r="F15" s="152"/>
      <c r="G15" s="152"/>
    </row>
    <row r="16" spans="1:7" x14ac:dyDescent="0.35">
      <c r="B16" s="149"/>
      <c r="C16" s="149"/>
      <c r="D16" s="149"/>
      <c r="E16" s="149"/>
      <c r="F16" s="152"/>
      <c r="G16" s="152"/>
    </row>
    <row r="17" spans="2:7" x14ac:dyDescent="0.35">
      <c r="B17" s="149"/>
      <c r="C17" s="149"/>
      <c r="D17" s="149"/>
      <c r="E17" s="149"/>
      <c r="F17" s="152"/>
      <c r="G17" s="152"/>
    </row>
    <row r="18" spans="2:7" x14ac:dyDescent="0.35">
      <c r="B18" s="149"/>
      <c r="C18" s="149"/>
      <c r="D18" s="149"/>
      <c r="E18" s="149"/>
      <c r="F18" s="152"/>
      <c r="G18" s="152"/>
    </row>
    <row r="19" spans="2:7" x14ac:dyDescent="0.35">
      <c r="B19" s="149"/>
      <c r="C19" s="149"/>
      <c r="D19" s="149"/>
      <c r="E19" s="149"/>
      <c r="F19" s="152"/>
      <c r="G19" s="152"/>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3B0FE-08DA-429E-A46E-561B98A4682A}">
  <sheetPr codeName="Sheet21"/>
  <dimension ref="A1:I25"/>
  <sheetViews>
    <sheetView workbookViewId="0">
      <selection activeCell="F59" sqref="F59"/>
    </sheetView>
  </sheetViews>
  <sheetFormatPr defaultRowHeight="14.5" x14ac:dyDescent="0.35"/>
  <cols>
    <col min="1" max="1" width="13.54296875" style="58" bestFit="1" customWidth="1"/>
    <col min="2" max="3" width="13.54296875" customWidth="1"/>
    <col min="4" max="4" width="16.54296875" customWidth="1"/>
    <col min="5" max="5" width="17.453125" customWidth="1"/>
    <col min="6" max="7" width="14.81640625" customWidth="1"/>
    <col min="8" max="8" width="14.54296875" customWidth="1"/>
    <col min="10" max="10" width="9.453125" bestFit="1" customWidth="1"/>
    <col min="11" max="11" width="11.54296875" bestFit="1" customWidth="1"/>
    <col min="12" max="12" width="10.54296875" bestFit="1" customWidth="1"/>
    <col min="13" max="13" width="9.453125" bestFit="1" customWidth="1"/>
    <col min="14" max="14" width="10.54296875" bestFit="1" customWidth="1"/>
    <col min="15" max="15" width="11.54296875" bestFit="1" customWidth="1"/>
    <col min="16" max="16" width="11.81640625" customWidth="1"/>
  </cols>
  <sheetData>
    <row r="1" spans="1:9" x14ac:dyDescent="0.35">
      <c r="A1" s="94" t="s">
        <v>588</v>
      </c>
    </row>
    <row r="3" spans="1:9" ht="72.5" x14ac:dyDescent="0.35">
      <c r="A3" s="41" t="s">
        <v>589</v>
      </c>
      <c r="B3" s="41" t="s">
        <v>590</v>
      </c>
      <c r="C3" s="41" t="s">
        <v>591</v>
      </c>
      <c r="D3" s="41" t="s">
        <v>592</v>
      </c>
      <c r="E3" s="41" t="s">
        <v>593</v>
      </c>
      <c r="F3" s="42" t="s">
        <v>594</v>
      </c>
      <c r="G3" s="42" t="s">
        <v>595</v>
      </c>
      <c r="H3" s="43" t="s">
        <v>596</v>
      </c>
      <c r="I3" s="43" t="s">
        <v>597</v>
      </c>
    </row>
    <row r="4" spans="1:9" x14ac:dyDescent="0.35">
      <c r="A4" s="44" t="s">
        <v>598</v>
      </c>
      <c r="B4" s="44">
        <v>1300</v>
      </c>
      <c r="C4" s="45">
        <v>0.3679</v>
      </c>
      <c r="D4" s="47">
        <v>0.1265</v>
      </c>
      <c r="E4" s="61">
        <v>0</v>
      </c>
      <c r="F4" s="46">
        <v>0</v>
      </c>
      <c r="G4" s="60">
        <v>0</v>
      </c>
      <c r="H4" s="47">
        <f>D4*(1-F4)</f>
        <v>0.1265</v>
      </c>
      <c r="I4" s="61">
        <v>0</v>
      </c>
    </row>
    <row r="5" spans="1:9" x14ac:dyDescent="0.35">
      <c r="A5" s="48" t="s">
        <v>598</v>
      </c>
      <c r="B5" s="48">
        <v>1301</v>
      </c>
      <c r="C5" s="49">
        <v>0.3679</v>
      </c>
      <c r="D5" s="49">
        <v>0.1265</v>
      </c>
      <c r="E5" s="62">
        <v>0</v>
      </c>
      <c r="F5" s="50">
        <v>1.4999999999999999E-2</v>
      </c>
      <c r="G5" s="56">
        <v>0</v>
      </c>
      <c r="H5" s="51">
        <f t="shared" ref="H5:H15" si="0">D5*(1-F5)</f>
        <v>0.1246025</v>
      </c>
      <c r="I5" s="62">
        <v>0</v>
      </c>
    </row>
    <row r="6" spans="1:9" x14ac:dyDescent="0.35">
      <c r="A6" s="48" t="s">
        <v>598</v>
      </c>
      <c r="B6" s="48">
        <v>1310</v>
      </c>
      <c r="C6" s="49">
        <v>0.3679</v>
      </c>
      <c r="D6" s="49">
        <v>0.1265</v>
      </c>
      <c r="E6" s="62">
        <v>0</v>
      </c>
      <c r="F6" s="50">
        <v>0</v>
      </c>
      <c r="G6" s="56">
        <v>0.25</v>
      </c>
      <c r="H6" s="51">
        <f t="shared" si="0"/>
        <v>0.1265</v>
      </c>
      <c r="I6" s="62">
        <v>0</v>
      </c>
    </row>
    <row r="7" spans="1:9" x14ac:dyDescent="0.35">
      <c r="A7" s="52" t="s">
        <v>598</v>
      </c>
      <c r="B7" s="52">
        <v>1311</v>
      </c>
      <c r="C7" s="53">
        <v>0.3679</v>
      </c>
      <c r="D7" s="55">
        <v>0.1265</v>
      </c>
      <c r="E7" s="63">
        <v>0</v>
      </c>
      <c r="F7" s="54">
        <v>1.4999999999999999E-2</v>
      </c>
      <c r="G7" s="57">
        <v>0.25</v>
      </c>
      <c r="H7" s="55">
        <f t="shared" si="0"/>
        <v>0.1246025</v>
      </c>
      <c r="I7" s="63">
        <v>0</v>
      </c>
    </row>
    <row r="8" spans="1:9" x14ac:dyDescent="0.35">
      <c r="A8" s="48" t="s">
        <v>599</v>
      </c>
      <c r="B8" s="48">
        <v>1500</v>
      </c>
      <c r="C8" s="49">
        <v>0.26979999999999998</v>
      </c>
      <c r="D8" s="51">
        <v>9.7699999999999995E-2</v>
      </c>
      <c r="E8" s="56">
        <v>5.46</v>
      </c>
      <c r="F8" s="50">
        <v>0</v>
      </c>
      <c r="G8" s="56">
        <v>0</v>
      </c>
      <c r="H8" s="51">
        <f t="shared" si="0"/>
        <v>9.7699999999999995E-2</v>
      </c>
      <c r="I8" s="56">
        <f>(E8*(1-F8)-G8)</f>
        <v>5.46</v>
      </c>
    </row>
    <row r="9" spans="1:9" x14ac:dyDescent="0.35">
      <c r="A9" s="48" t="s">
        <v>599</v>
      </c>
      <c r="B9" s="48">
        <v>1501</v>
      </c>
      <c r="C9" s="49">
        <v>0.26979999999999998</v>
      </c>
      <c r="D9" s="51">
        <v>9.7699999999999995E-2</v>
      </c>
      <c r="E9" s="56">
        <v>5.46</v>
      </c>
      <c r="F9" s="50">
        <v>1.4999999999999999E-2</v>
      </c>
      <c r="G9" s="56">
        <v>0</v>
      </c>
      <c r="H9" s="51">
        <f t="shared" si="0"/>
        <v>9.6234500000000001E-2</v>
      </c>
      <c r="I9" s="56">
        <f t="shared" ref="I9:I15" si="1">(E9*(1-F9)-G9)</f>
        <v>5.3780999999999999</v>
      </c>
    </row>
    <row r="10" spans="1:9" x14ac:dyDescent="0.35">
      <c r="A10" s="48" t="s">
        <v>599</v>
      </c>
      <c r="B10" s="48">
        <v>1510</v>
      </c>
      <c r="C10" s="49">
        <v>0.26979999999999998</v>
      </c>
      <c r="D10" s="51">
        <v>9.7699999999999995E-2</v>
      </c>
      <c r="E10" s="56">
        <v>5.46</v>
      </c>
      <c r="F10" s="50">
        <v>0</v>
      </c>
      <c r="G10" s="56">
        <v>0.25</v>
      </c>
      <c r="H10" s="51">
        <f t="shared" si="0"/>
        <v>9.7699999999999995E-2</v>
      </c>
      <c r="I10" s="56">
        <f t="shared" si="1"/>
        <v>5.21</v>
      </c>
    </row>
    <row r="11" spans="1:9" x14ac:dyDescent="0.35">
      <c r="A11" s="52" t="s">
        <v>599</v>
      </c>
      <c r="B11" s="52">
        <v>1511</v>
      </c>
      <c r="C11" s="53">
        <v>0.26979999999999998</v>
      </c>
      <c r="D11" s="55">
        <v>9.7699999999999995E-2</v>
      </c>
      <c r="E11" s="55">
        <v>5.46</v>
      </c>
      <c r="F11" s="54">
        <v>1.4999999999999999E-2</v>
      </c>
      <c r="G11" s="57">
        <v>0.25</v>
      </c>
      <c r="H11" s="55">
        <f t="shared" si="0"/>
        <v>9.6234500000000001E-2</v>
      </c>
      <c r="I11" s="57">
        <f t="shared" si="1"/>
        <v>5.1280999999999999</v>
      </c>
    </row>
    <row r="12" spans="1:9" x14ac:dyDescent="0.35">
      <c r="A12" s="48" t="s">
        <v>600</v>
      </c>
      <c r="B12" s="48">
        <v>1600</v>
      </c>
      <c r="C12" s="51">
        <v>0.26979999999999998</v>
      </c>
      <c r="D12" s="51">
        <v>6.1199999999999997E-2</v>
      </c>
      <c r="E12" s="56">
        <v>12.46</v>
      </c>
      <c r="F12" s="46">
        <v>0</v>
      </c>
      <c r="G12" s="60">
        <v>0</v>
      </c>
      <c r="H12" s="51">
        <f t="shared" si="0"/>
        <v>6.1199999999999997E-2</v>
      </c>
      <c r="I12" s="56">
        <f t="shared" si="1"/>
        <v>12.46</v>
      </c>
    </row>
    <row r="13" spans="1:9" x14ac:dyDescent="0.35">
      <c r="A13" s="48" t="s">
        <v>600</v>
      </c>
      <c r="B13" s="48">
        <v>1601</v>
      </c>
      <c r="C13" s="51">
        <v>0.26979999999999998</v>
      </c>
      <c r="D13" s="51">
        <v>6.1199999999999997E-2</v>
      </c>
      <c r="E13" s="56">
        <v>12.46</v>
      </c>
      <c r="F13" s="50">
        <v>1.4999999999999999E-2</v>
      </c>
      <c r="G13" s="56">
        <v>0</v>
      </c>
      <c r="H13" s="51">
        <f t="shared" si="0"/>
        <v>6.0281999999999995E-2</v>
      </c>
      <c r="I13" s="56">
        <f t="shared" si="1"/>
        <v>12.273100000000001</v>
      </c>
    </row>
    <row r="14" spans="1:9" x14ac:dyDescent="0.35">
      <c r="A14" s="48" t="s">
        <v>600</v>
      </c>
      <c r="B14" s="48">
        <v>1610</v>
      </c>
      <c r="C14" s="51">
        <v>0.26979999999999998</v>
      </c>
      <c r="D14" s="51">
        <v>6.1199999999999997E-2</v>
      </c>
      <c r="E14" s="56">
        <v>12.46</v>
      </c>
      <c r="F14" s="50">
        <v>0</v>
      </c>
      <c r="G14" s="56">
        <v>0.25</v>
      </c>
      <c r="H14" s="51">
        <f t="shared" si="0"/>
        <v>6.1199999999999997E-2</v>
      </c>
      <c r="I14" s="56">
        <f t="shared" si="1"/>
        <v>12.21</v>
      </c>
    </row>
    <row r="15" spans="1:9" x14ac:dyDescent="0.35">
      <c r="A15" s="52" t="s">
        <v>600</v>
      </c>
      <c r="B15" s="52">
        <v>1611</v>
      </c>
      <c r="C15" s="55">
        <v>0.26979999999999998</v>
      </c>
      <c r="D15" s="51">
        <v>6.1199999999999997E-2</v>
      </c>
      <c r="E15" s="56">
        <v>12.46</v>
      </c>
      <c r="F15" s="54">
        <v>1.4999999999999999E-2</v>
      </c>
      <c r="G15" s="57">
        <v>0.25</v>
      </c>
      <c r="H15" s="55">
        <f t="shared" si="0"/>
        <v>6.0281999999999995E-2</v>
      </c>
      <c r="I15" s="57">
        <f t="shared" si="1"/>
        <v>12.023100000000001</v>
      </c>
    </row>
    <row r="16" spans="1:9" x14ac:dyDescent="0.35">
      <c r="B16" s="48"/>
    </row>
    <row r="17" spans="1:2" x14ac:dyDescent="0.35">
      <c r="A17" s="59" t="s">
        <v>601</v>
      </c>
    </row>
    <row r="18" spans="1:2" x14ac:dyDescent="0.35">
      <c r="A18" s="59"/>
    </row>
    <row r="19" spans="1:2" x14ac:dyDescent="0.35">
      <c r="A19" s="59" t="s">
        <v>602</v>
      </c>
    </row>
    <row r="20" spans="1:2" x14ac:dyDescent="0.35">
      <c r="B20" s="59" t="s">
        <v>603</v>
      </c>
    </row>
    <row r="21" spans="1:2" x14ac:dyDescent="0.35">
      <c r="B21" s="59" t="s">
        <v>604</v>
      </c>
    </row>
    <row r="22" spans="1:2" x14ac:dyDescent="0.35">
      <c r="B22" t="s">
        <v>605</v>
      </c>
    </row>
    <row r="24" spans="1:2" x14ac:dyDescent="0.35">
      <c r="A24" s="59" t="s">
        <v>606</v>
      </c>
    </row>
    <row r="25" spans="1:2" x14ac:dyDescent="0.35">
      <c r="A2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BCD7-5C4A-49E6-816F-A87186558B4E}">
  <sheetPr codeName="Sheet2">
    <pageSetUpPr fitToPage="1"/>
  </sheetPr>
  <dimension ref="A1:N72"/>
  <sheetViews>
    <sheetView showGridLines="0" topLeftCell="A14" zoomScale="85" zoomScaleNormal="85" workbookViewId="0">
      <selection activeCell="D61" sqref="D61"/>
    </sheetView>
  </sheetViews>
  <sheetFormatPr defaultColWidth="0" defaultRowHeight="14" zeroHeight="1" x14ac:dyDescent="0.3"/>
  <cols>
    <col min="1" max="1" width="4.26953125" style="4" customWidth="1"/>
    <col min="2" max="2" width="2.7265625" style="4" customWidth="1"/>
    <col min="3" max="3" width="31.08984375" style="4" customWidth="1"/>
    <col min="4" max="4" width="30.7265625" style="4" customWidth="1"/>
    <col min="5" max="6" width="20.08984375" style="4" customWidth="1"/>
    <col min="7" max="8" width="23.08984375" style="29" customWidth="1"/>
    <col min="9" max="12" width="26.36328125" style="4" customWidth="1"/>
    <col min="13" max="13" width="2.54296875" style="4" customWidth="1"/>
    <col min="14" max="14" width="8.7265625" style="4" customWidth="1"/>
    <col min="15" max="16384" width="8.7265625" style="4" hidden="1"/>
  </cols>
  <sheetData>
    <row r="1" spans="2:13" ht="14.5" thickBot="1" x14ac:dyDescent="0.35"/>
    <row r="2" spans="2:13" x14ac:dyDescent="0.3">
      <c r="B2" s="342"/>
      <c r="C2" s="345"/>
      <c r="D2" s="345"/>
      <c r="E2" s="345"/>
      <c r="F2" s="345"/>
      <c r="G2" s="345"/>
      <c r="H2" s="345"/>
      <c r="I2" s="345"/>
      <c r="J2" s="345"/>
      <c r="K2" s="345"/>
      <c r="L2" s="345"/>
      <c r="M2" s="329"/>
    </row>
    <row r="3" spans="2:13" ht="49.5" customHeight="1" x14ac:dyDescent="0.3">
      <c r="B3" s="343"/>
      <c r="C3" s="333" t="s">
        <v>25</v>
      </c>
      <c r="D3" s="333"/>
      <c r="E3" s="333"/>
      <c r="F3" s="333"/>
      <c r="G3" s="333"/>
      <c r="H3" s="333"/>
      <c r="I3" s="333"/>
      <c r="J3" s="333"/>
      <c r="K3" s="172"/>
      <c r="L3" s="173"/>
      <c r="M3" s="330"/>
    </row>
    <row r="4" spans="2:13" ht="36" customHeight="1" x14ac:dyDescent="0.3">
      <c r="B4" s="343"/>
      <c r="C4" s="317" t="s">
        <v>724</v>
      </c>
      <c r="D4" s="317"/>
      <c r="E4" s="317"/>
      <c r="F4" s="317"/>
      <c r="G4" s="317"/>
      <c r="H4" s="317"/>
      <c r="I4" s="317"/>
      <c r="J4" s="317"/>
      <c r="K4" s="317"/>
      <c r="L4" s="317"/>
      <c r="M4" s="330"/>
    </row>
    <row r="5" spans="2:13" ht="30.5" customHeight="1" x14ac:dyDescent="0.3">
      <c r="B5" s="343"/>
      <c r="C5" s="171" t="s">
        <v>34</v>
      </c>
      <c r="D5" s="322"/>
      <c r="E5" s="322"/>
      <c r="F5" s="322"/>
      <c r="G5" s="322"/>
      <c r="H5" s="322"/>
      <c r="I5" s="270" t="s">
        <v>725</v>
      </c>
      <c r="J5" s="322"/>
      <c r="K5" s="322"/>
      <c r="L5" s="322"/>
      <c r="M5" s="330"/>
    </row>
    <row r="6" spans="2:13" ht="15" customHeight="1" x14ac:dyDescent="0.3">
      <c r="B6" s="343"/>
      <c r="C6" s="323" t="s">
        <v>35</v>
      </c>
      <c r="D6" s="322"/>
      <c r="E6" s="322"/>
      <c r="F6" s="322"/>
      <c r="G6" s="322"/>
      <c r="H6" s="322"/>
      <c r="I6" s="270" t="s">
        <v>31</v>
      </c>
      <c r="J6" s="322"/>
      <c r="K6" s="322"/>
      <c r="L6" s="322"/>
      <c r="M6" s="330"/>
    </row>
    <row r="7" spans="2:13" ht="15" customHeight="1" x14ac:dyDescent="0.3">
      <c r="B7" s="343"/>
      <c r="C7" s="323"/>
      <c r="D7" s="322"/>
      <c r="E7" s="322"/>
      <c r="F7" s="322"/>
      <c r="G7" s="322"/>
      <c r="H7" s="322"/>
      <c r="I7" s="270" t="s">
        <v>33</v>
      </c>
      <c r="J7" s="322"/>
      <c r="K7" s="322"/>
      <c r="L7" s="322"/>
      <c r="M7" s="330"/>
    </row>
    <row r="8" spans="2:13" x14ac:dyDescent="0.3">
      <c r="B8" s="343"/>
      <c r="C8" s="324"/>
      <c r="D8" s="324"/>
      <c r="E8" s="324"/>
      <c r="F8" s="324"/>
      <c r="G8" s="324"/>
      <c r="H8" s="324"/>
      <c r="I8" s="324"/>
      <c r="J8" s="324"/>
      <c r="K8" s="324"/>
      <c r="L8" s="324"/>
      <c r="M8" s="330"/>
    </row>
    <row r="9" spans="2:13" ht="32.15" customHeight="1" x14ac:dyDescent="0.3">
      <c r="B9" s="343"/>
      <c r="C9" s="317" t="s">
        <v>647</v>
      </c>
      <c r="D9" s="317"/>
      <c r="E9" s="317"/>
      <c r="F9" s="317"/>
      <c r="G9" s="317"/>
      <c r="H9" s="317"/>
      <c r="I9" s="317"/>
      <c r="J9" s="317"/>
      <c r="K9" s="317"/>
      <c r="L9" s="317"/>
      <c r="M9" s="330"/>
    </row>
    <row r="10" spans="2:13" ht="18" hidden="1" x14ac:dyDescent="0.3">
      <c r="B10" s="343"/>
      <c r="C10" s="144" t="s">
        <v>26</v>
      </c>
      <c r="D10" s="348" t="s">
        <v>93</v>
      </c>
      <c r="E10" s="349"/>
      <c r="F10" s="349"/>
      <c r="G10" s="349"/>
      <c r="H10" s="350"/>
      <c r="I10" s="179" t="s">
        <v>27</v>
      </c>
      <c r="J10" s="180" t="s">
        <v>447</v>
      </c>
      <c r="K10" s="179" t="s">
        <v>28</v>
      </c>
      <c r="L10" s="180">
        <v>1600</v>
      </c>
      <c r="M10" s="330"/>
    </row>
    <row r="11" spans="2:13" hidden="1" x14ac:dyDescent="0.3">
      <c r="B11" s="343"/>
      <c r="C11" s="174" t="str">
        <f>IF(ApplSector="Industrial","Industry ",IF(ApplSector="Commercial","Building ",""))&amp;"Type:"</f>
        <v>Building Type:</v>
      </c>
      <c r="D11" s="355" t="s">
        <v>559</v>
      </c>
      <c r="E11" s="356"/>
      <c r="F11" s="356"/>
      <c r="G11" s="356"/>
      <c r="H11" s="357"/>
      <c r="I11" s="174" t="s">
        <v>29</v>
      </c>
      <c r="J11" s="351" t="s">
        <v>30</v>
      </c>
      <c r="K11" s="352"/>
      <c r="L11" s="353"/>
      <c r="M11" s="330"/>
    </row>
    <row r="12" spans="2:13" ht="14.5" customHeight="1" x14ac:dyDescent="0.3">
      <c r="B12" s="343"/>
      <c r="C12" s="171" t="str">
        <f>IF(ApplSector="Industrial","Plant",IF(ApplSector="Commercial","Building","Plant"))&amp;" Name:"</f>
        <v>Building Name:</v>
      </c>
      <c r="D12" s="322"/>
      <c r="E12" s="322"/>
      <c r="F12" s="322"/>
      <c r="G12" s="322"/>
      <c r="H12" s="322"/>
      <c r="I12" s="175" t="s">
        <v>654</v>
      </c>
      <c r="J12" s="322"/>
      <c r="K12" s="322"/>
      <c r="L12" s="322"/>
      <c r="M12" s="330"/>
    </row>
    <row r="13" spans="2:13" ht="14.5" customHeight="1" x14ac:dyDescent="0.3">
      <c r="B13" s="343"/>
      <c r="C13" s="270" t="s">
        <v>651</v>
      </c>
      <c r="D13" s="325"/>
      <c r="E13" s="325"/>
      <c r="F13" s="176" t="s">
        <v>652</v>
      </c>
      <c r="G13" s="325"/>
      <c r="H13" s="325"/>
      <c r="I13" s="270" t="s">
        <v>31</v>
      </c>
      <c r="J13" s="322"/>
      <c r="K13" s="322"/>
      <c r="L13" s="322"/>
      <c r="M13" s="330"/>
    </row>
    <row r="14" spans="2:13" ht="14.5" customHeight="1" x14ac:dyDescent="0.3">
      <c r="B14" s="343"/>
      <c r="C14" s="270" t="s">
        <v>774</v>
      </c>
      <c r="D14" s="338"/>
      <c r="E14" s="338"/>
      <c r="F14" s="176" t="s">
        <v>32</v>
      </c>
      <c r="G14" s="339" t="s">
        <v>773</v>
      </c>
      <c r="H14" s="340"/>
      <c r="I14" s="270" t="s">
        <v>653</v>
      </c>
      <c r="J14" s="322"/>
      <c r="K14" s="322"/>
      <c r="L14" s="322"/>
      <c r="M14" s="330"/>
    </row>
    <row r="15" spans="2:13" ht="14.5" customHeight="1" x14ac:dyDescent="0.3">
      <c r="B15" s="343"/>
      <c r="C15" s="177" t="s">
        <v>664</v>
      </c>
      <c r="D15" s="341" t="s">
        <v>37</v>
      </c>
      <c r="E15" s="341"/>
      <c r="F15" s="318" t="s">
        <v>665</v>
      </c>
      <c r="G15" s="318"/>
      <c r="H15" s="318"/>
      <c r="I15" s="318"/>
      <c r="J15" s="318"/>
      <c r="K15" s="318"/>
      <c r="L15" s="318"/>
      <c r="M15" s="330"/>
    </row>
    <row r="16" spans="2:13" ht="14.5" customHeight="1" x14ac:dyDescent="0.3">
      <c r="B16" s="343"/>
      <c r="C16" s="270" t="s">
        <v>655</v>
      </c>
      <c r="D16" s="319"/>
      <c r="E16" s="319"/>
      <c r="F16" s="321"/>
      <c r="G16" s="321"/>
      <c r="H16" s="321"/>
      <c r="I16" s="321"/>
      <c r="J16" s="321"/>
      <c r="K16" s="321"/>
      <c r="L16" s="321"/>
      <c r="M16" s="330"/>
    </row>
    <row r="17" spans="2:13" ht="14.5" customHeight="1" x14ac:dyDescent="0.3">
      <c r="B17" s="343"/>
      <c r="C17" s="270" t="s">
        <v>656</v>
      </c>
      <c r="D17" s="319"/>
      <c r="E17" s="319"/>
      <c r="F17" s="321"/>
      <c r="G17" s="321"/>
      <c r="H17" s="321"/>
      <c r="I17" s="321"/>
      <c r="J17" s="321"/>
      <c r="K17" s="321"/>
      <c r="L17" s="321"/>
      <c r="M17" s="330"/>
    </row>
    <row r="18" spans="2:13" ht="14.5" customHeight="1" x14ac:dyDescent="0.3">
      <c r="B18" s="343"/>
      <c r="C18" s="270" t="s">
        <v>657</v>
      </c>
      <c r="D18" s="319"/>
      <c r="E18" s="319"/>
      <c r="F18" s="321"/>
      <c r="G18" s="321"/>
      <c r="H18" s="321"/>
      <c r="I18" s="321"/>
      <c r="J18" s="321"/>
      <c r="K18" s="321"/>
      <c r="L18" s="321"/>
      <c r="M18" s="330"/>
    </row>
    <row r="19" spans="2:13" ht="14.5" customHeight="1" x14ac:dyDescent="0.3">
      <c r="B19" s="343"/>
      <c r="C19" s="270" t="s">
        <v>737</v>
      </c>
      <c r="D19" s="319"/>
      <c r="E19" s="319"/>
      <c r="F19" s="321"/>
      <c r="G19" s="321"/>
      <c r="H19" s="321"/>
      <c r="I19" s="321"/>
      <c r="J19" s="321"/>
      <c r="K19" s="321"/>
      <c r="L19" s="321"/>
      <c r="M19" s="330"/>
    </row>
    <row r="20" spans="2:13" ht="14.5" customHeight="1" x14ac:dyDescent="0.3">
      <c r="B20" s="343"/>
      <c r="C20" s="270" t="s">
        <v>659</v>
      </c>
      <c r="D20" s="319"/>
      <c r="E20" s="319"/>
      <c r="F20" s="321"/>
      <c r="G20" s="321"/>
      <c r="H20" s="321"/>
      <c r="I20" s="321"/>
      <c r="J20" s="321"/>
      <c r="K20" s="321"/>
      <c r="L20" s="321"/>
      <c r="M20" s="330"/>
    </row>
    <row r="21" spans="2:13" ht="14.5" customHeight="1" x14ac:dyDescent="0.3">
      <c r="B21" s="343"/>
      <c r="C21" s="270" t="s">
        <v>660</v>
      </c>
      <c r="D21" s="319"/>
      <c r="E21" s="319"/>
      <c r="F21" s="321"/>
      <c r="G21" s="321"/>
      <c r="H21" s="321"/>
      <c r="I21" s="321"/>
      <c r="J21" s="321"/>
      <c r="K21" s="321"/>
      <c r="L21" s="321"/>
      <c r="M21" s="330"/>
    </row>
    <row r="22" spans="2:13" ht="14.5" customHeight="1" x14ac:dyDescent="0.3">
      <c r="B22" s="343"/>
      <c r="C22" s="270" t="s">
        <v>661</v>
      </c>
      <c r="D22" s="319"/>
      <c r="E22" s="319"/>
      <c r="F22" s="321"/>
      <c r="G22" s="321"/>
      <c r="H22" s="321"/>
      <c r="I22" s="321"/>
      <c r="J22" s="321"/>
      <c r="K22" s="321"/>
      <c r="L22" s="321"/>
      <c r="M22" s="330"/>
    </row>
    <row r="23" spans="2:13" ht="14.5" customHeight="1" x14ac:dyDescent="0.3">
      <c r="B23" s="343"/>
      <c r="C23" s="270" t="s">
        <v>662</v>
      </c>
      <c r="D23" s="319"/>
      <c r="E23" s="319"/>
      <c r="F23" s="321"/>
      <c r="G23" s="321"/>
      <c r="H23" s="321"/>
      <c r="I23" s="321"/>
      <c r="J23" s="321"/>
      <c r="K23" s="321"/>
      <c r="L23" s="321"/>
      <c r="M23" s="330"/>
    </row>
    <row r="24" spans="2:13" ht="14.5" customHeight="1" x14ac:dyDescent="0.3">
      <c r="B24" s="343"/>
      <c r="C24" s="171" t="s">
        <v>663</v>
      </c>
      <c r="D24" s="319"/>
      <c r="E24" s="319"/>
      <c r="F24" s="321"/>
      <c r="G24" s="321"/>
      <c r="H24" s="321"/>
      <c r="I24" s="321"/>
      <c r="J24" s="321"/>
      <c r="K24" s="321"/>
      <c r="L24" s="321"/>
      <c r="M24" s="330"/>
    </row>
    <row r="25" spans="2:13" ht="34" customHeight="1" x14ac:dyDescent="0.3">
      <c r="B25" s="343"/>
      <c r="C25" s="171"/>
      <c r="D25" s="320" t="str">
        <f>IFERROR(VLOOKUP(D24,Variables!AC29:AD33,2,FALSE),"")</f>
        <v/>
      </c>
      <c r="E25" s="320"/>
      <c r="F25" s="321"/>
      <c r="G25" s="321"/>
      <c r="H25" s="321"/>
      <c r="I25" s="321"/>
      <c r="J25" s="321"/>
      <c r="K25" s="321"/>
      <c r="L25" s="321"/>
      <c r="M25" s="330"/>
    </row>
    <row r="26" spans="2:13" x14ac:dyDescent="0.3">
      <c r="B26" s="343"/>
      <c r="C26" s="324"/>
      <c r="D26" s="324"/>
      <c r="E26" s="324"/>
      <c r="F26" s="324"/>
      <c r="G26" s="324"/>
      <c r="H26" s="324"/>
      <c r="I26" s="324"/>
      <c r="J26" s="324"/>
      <c r="K26" s="324"/>
      <c r="L26" s="324"/>
      <c r="M26" s="330"/>
    </row>
    <row r="27" spans="2:13" ht="32.15" customHeight="1" x14ac:dyDescent="0.3">
      <c r="B27" s="343"/>
      <c r="C27" s="317" t="s">
        <v>728</v>
      </c>
      <c r="D27" s="317"/>
      <c r="E27" s="317"/>
      <c r="F27" s="317"/>
      <c r="G27" s="317"/>
      <c r="H27" s="317"/>
      <c r="I27" s="317"/>
      <c r="J27" s="317"/>
      <c r="K27" s="317"/>
      <c r="L27" s="317"/>
      <c r="M27" s="330"/>
    </row>
    <row r="28" spans="2:13" ht="15" customHeight="1" x14ac:dyDescent="0.3">
      <c r="B28" s="343"/>
      <c r="C28" s="309" t="s">
        <v>729</v>
      </c>
      <c r="D28" s="309"/>
      <c r="E28" s="309"/>
      <c r="F28" s="309"/>
      <c r="G28" s="309" t="s">
        <v>37</v>
      </c>
      <c r="H28" s="309"/>
      <c r="I28" s="265" t="s">
        <v>38</v>
      </c>
      <c r="J28" s="265" t="s">
        <v>36</v>
      </c>
      <c r="K28" s="265" t="s">
        <v>39</v>
      </c>
      <c r="L28" s="182" t="s">
        <v>38</v>
      </c>
      <c r="M28" s="330"/>
    </row>
    <row r="29" spans="2:13" x14ac:dyDescent="0.3">
      <c r="B29" s="343"/>
      <c r="C29" s="311" t="s">
        <v>40</v>
      </c>
      <c r="D29" s="311"/>
      <c r="E29" s="311"/>
      <c r="F29" s="311"/>
      <c r="G29" s="314"/>
      <c r="H29" s="314"/>
      <c r="I29" s="263" t="s">
        <v>41</v>
      </c>
      <c r="J29" s="267" t="s">
        <v>678</v>
      </c>
      <c r="K29" s="183" t="e">
        <f>G29/$D$14</f>
        <v>#DIV/0!</v>
      </c>
      <c r="L29" s="270" t="str">
        <f>"kWh/"&amp;IF($G$14="square meters","m2","sqft")</f>
        <v>kWh/sqft</v>
      </c>
      <c r="M29" s="330"/>
    </row>
    <row r="30" spans="2:13" ht="14.25" customHeight="1" x14ac:dyDescent="0.3">
      <c r="B30" s="343"/>
      <c r="C30" s="311" t="s">
        <v>775</v>
      </c>
      <c r="D30" s="311"/>
      <c r="E30" s="311"/>
      <c r="F30" s="311"/>
      <c r="G30" s="314"/>
      <c r="H30" s="314"/>
      <c r="I30" s="263" t="s">
        <v>41</v>
      </c>
      <c r="J30" s="267" t="s">
        <v>43</v>
      </c>
      <c r="K30" s="183" t="e">
        <f>G30*1000/D14</f>
        <v>#DIV/0!</v>
      </c>
      <c r="L30" s="184" t="str">
        <f>"W/"&amp;IF(G14="square meters","m2","sqft")</f>
        <v>W/sqft</v>
      </c>
      <c r="M30" s="330"/>
    </row>
    <row r="31" spans="2:13" ht="14.25" customHeight="1" x14ac:dyDescent="0.3">
      <c r="B31" s="343"/>
      <c r="C31" s="311"/>
      <c r="D31" s="311"/>
      <c r="E31" s="311"/>
      <c r="F31" s="311"/>
      <c r="G31" s="354"/>
      <c r="H31" s="354"/>
      <c r="I31" s="263"/>
      <c r="J31" s="267"/>
      <c r="K31" s="184"/>
      <c r="L31" s="184"/>
      <c r="M31" s="330"/>
    </row>
    <row r="32" spans="2:13" ht="14.25" hidden="1" customHeight="1" x14ac:dyDescent="0.3">
      <c r="B32" s="343"/>
      <c r="C32" s="311" t="s">
        <v>44</v>
      </c>
      <c r="D32" s="311"/>
      <c r="E32" s="311"/>
      <c r="F32" s="311"/>
      <c r="G32" s="347"/>
      <c r="H32" s="347"/>
      <c r="I32" s="263" t="s">
        <v>45</v>
      </c>
      <c r="J32" s="346"/>
      <c r="K32" s="346"/>
      <c r="L32" s="346"/>
      <c r="M32" s="330"/>
    </row>
    <row r="33" spans="2:13" ht="14.25" hidden="1" customHeight="1" x14ac:dyDescent="0.3">
      <c r="B33" s="343"/>
      <c r="C33" s="311" t="s">
        <v>46</v>
      </c>
      <c r="D33" s="311"/>
      <c r="E33" s="311"/>
      <c r="F33" s="311"/>
      <c r="G33" s="347"/>
      <c r="H33" s="347"/>
      <c r="I33" s="263" t="s">
        <v>45</v>
      </c>
      <c r="J33" s="346"/>
      <c r="K33" s="346"/>
      <c r="L33" s="346"/>
      <c r="M33" s="330"/>
    </row>
    <row r="34" spans="2:13" ht="14.25" hidden="1" customHeight="1" x14ac:dyDescent="0.3">
      <c r="B34" s="343"/>
      <c r="C34" s="311" t="s">
        <v>47</v>
      </c>
      <c r="D34" s="311"/>
      <c r="E34" s="311"/>
      <c r="F34" s="311"/>
      <c r="G34" s="347"/>
      <c r="H34" s="347"/>
      <c r="I34" s="263" t="s">
        <v>45</v>
      </c>
      <c r="J34" s="346"/>
      <c r="K34" s="346"/>
      <c r="L34" s="346"/>
      <c r="M34" s="330"/>
    </row>
    <row r="35" spans="2:13" hidden="1" x14ac:dyDescent="0.3">
      <c r="B35" s="343"/>
      <c r="C35" s="311" t="s">
        <v>48</v>
      </c>
      <c r="D35" s="311"/>
      <c r="E35" s="311"/>
      <c r="F35" s="311"/>
      <c r="G35" s="334">
        <f>G32+G33+G34</f>
        <v>0</v>
      </c>
      <c r="H35" s="334"/>
      <c r="I35" s="263" t="s">
        <v>45</v>
      </c>
      <c r="J35" s="267" t="s">
        <v>49</v>
      </c>
      <c r="K35" s="185" t="e">
        <f>G35/D16</f>
        <v>#DIV/0!</v>
      </c>
      <c r="L35" s="268" t="str">
        <f>"$/"&amp;IF(G16="square meters","m2","sqft")</f>
        <v>$/sqft</v>
      </c>
      <c r="M35" s="330"/>
    </row>
    <row r="36" spans="2:13" ht="15" customHeight="1" x14ac:dyDescent="0.3">
      <c r="B36" s="343"/>
      <c r="C36" s="309" t="s">
        <v>730</v>
      </c>
      <c r="D36" s="309"/>
      <c r="E36" s="309"/>
      <c r="F36" s="309"/>
      <c r="G36" s="309" t="s">
        <v>37</v>
      </c>
      <c r="H36" s="309"/>
      <c r="I36" s="265" t="s">
        <v>38</v>
      </c>
      <c r="J36" s="265" t="s">
        <v>36</v>
      </c>
      <c r="K36" s="265" t="s">
        <v>39</v>
      </c>
      <c r="L36" s="182" t="s">
        <v>38</v>
      </c>
      <c r="M36" s="330"/>
    </row>
    <row r="37" spans="2:13" x14ac:dyDescent="0.3">
      <c r="B37" s="343"/>
      <c r="C37" s="311" t="s">
        <v>50</v>
      </c>
      <c r="D37" s="311"/>
      <c r="E37" s="311"/>
      <c r="F37" s="311"/>
      <c r="G37" s="264"/>
      <c r="H37" s="186" t="s">
        <v>32</v>
      </c>
      <c r="I37" s="187" t="s">
        <v>51</v>
      </c>
      <c r="J37" s="311"/>
      <c r="K37" s="311"/>
      <c r="L37" s="311"/>
      <c r="M37" s="330"/>
    </row>
    <row r="38" spans="2:13" x14ac:dyDescent="0.3">
      <c r="B38" s="343"/>
      <c r="C38" s="311" t="s">
        <v>52</v>
      </c>
      <c r="D38" s="311"/>
      <c r="E38" s="311"/>
      <c r="F38" s="311"/>
      <c r="G38" s="314"/>
      <c r="H38" s="314"/>
      <c r="I38" s="188" t="str">
        <f>I37</f>
        <v>GJ</v>
      </c>
      <c r="J38" s="311"/>
      <c r="K38" s="311"/>
      <c r="L38" s="311"/>
      <c r="M38" s="330"/>
    </row>
    <row r="39" spans="2:13" x14ac:dyDescent="0.3">
      <c r="B39" s="343"/>
      <c r="C39" s="311" t="s">
        <v>53</v>
      </c>
      <c r="D39" s="311"/>
      <c r="E39" s="311"/>
      <c r="F39" s="311"/>
      <c r="G39" s="316">
        <f>IF(I37="L",VLOOKUP(G37,Variables!AC1:AD7,2,FALSE),1)*'Basic Info'!G38</f>
        <v>0</v>
      </c>
      <c r="H39" s="316"/>
      <c r="I39" s="263" t="s">
        <v>54</v>
      </c>
      <c r="J39" s="267" t="s">
        <v>55</v>
      </c>
      <c r="K39" s="183" t="e">
        <f>G38/D14</f>
        <v>#DIV/0!</v>
      </c>
      <c r="L39" s="270" t="str">
        <f>"GJ/"&amp;IF(G14="square meters","m2","sqft")</f>
        <v>GJ/sqft</v>
      </c>
      <c r="M39" s="330"/>
    </row>
    <row r="40" spans="2:13" x14ac:dyDescent="0.3">
      <c r="B40" s="343"/>
      <c r="C40" s="311" t="s">
        <v>56</v>
      </c>
      <c r="D40" s="311"/>
      <c r="E40" s="311"/>
      <c r="F40" s="311"/>
      <c r="G40" s="336"/>
      <c r="H40" s="336"/>
      <c r="I40" s="263" t="s">
        <v>45</v>
      </c>
      <c r="J40" s="267" t="s">
        <v>49</v>
      </c>
      <c r="K40" s="183" t="e">
        <f>G40/D14</f>
        <v>#DIV/0!</v>
      </c>
      <c r="L40" s="270" t="str">
        <f>"$/"&amp;IF(G14="square meters","m2","sqft")</f>
        <v>$/sqft</v>
      </c>
      <c r="M40" s="330"/>
    </row>
    <row r="41" spans="2:13" x14ac:dyDescent="0.3">
      <c r="B41" s="343"/>
      <c r="C41" s="311" t="s">
        <v>57</v>
      </c>
      <c r="D41" s="311"/>
      <c r="E41" s="311"/>
      <c r="F41" s="311"/>
      <c r="G41" s="337" t="e">
        <f>G40/G39</f>
        <v>#DIV/0!</v>
      </c>
      <c r="H41" s="337"/>
      <c r="I41" s="263" t="s">
        <v>58</v>
      </c>
      <c r="J41" s="311"/>
      <c r="K41" s="311"/>
      <c r="L41" s="311"/>
      <c r="M41" s="330"/>
    </row>
    <row r="42" spans="2:13" x14ac:dyDescent="0.3">
      <c r="B42" s="343"/>
      <c r="C42" s="181"/>
      <c r="D42" s="181"/>
      <c r="E42" s="181"/>
      <c r="F42" s="181"/>
      <c r="G42" s="181"/>
      <c r="H42" s="181"/>
      <c r="I42" s="181"/>
      <c r="J42" s="181"/>
      <c r="K42" s="181"/>
      <c r="L42" s="181"/>
      <c r="M42" s="330"/>
    </row>
    <row r="43" spans="2:13" ht="32.15" customHeight="1" x14ac:dyDescent="0.3">
      <c r="B43" s="343"/>
      <c r="C43" s="317" t="s">
        <v>643</v>
      </c>
      <c r="D43" s="317"/>
      <c r="E43" s="317"/>
      <c r="F43" s="317"/>
      <c r="G43" s="317"/>
      <c r="H43" s="317"/>
      <c r="I43" s="317"/>
      <c r="J43" s="317"/>
      <c r="K43" s="317"/>
      <c r="L43" s="317"/>
      <c r="M43" s="330"/>
    </row>
    <row r="44" spans="2:13" ht="14.5" customHeight="1" x14ac:dyDescent="0.3">
      <c r="B44" s="343"/>
      <c r="C44" s="309" t="s">
        <v>36</v>
      </c>
      <c r="D44" s="309"/>
      <c r="E44" s="309" t="s">
        <v>37</v>
      </c>
      <c r="F44" s="309"/>
      <c r="G44" s="265" t="s">
        <v>38</v>
      </c>
      <c r="H44" s="309" t="s">
        <v>668</v>
      </c>
      <c r="I44" s="309"/>
      <c r="J44" s="265" t="s">
        <v>37</v>
      </c>
      <c r="K44" s="309" t="s">
        <v>590</v>
      </c>
      <c r="L44" s="309"/>
      <c r="M44" s="330"/>
    </row>
    <row r="45" spans="2:13" ht="14" customHeight="1" x14ac:dyDescent="0.3">
      <c r="B45" s="343"/>
      <c r="C45" s="313" t="s">
        <v>59</v>
      </c>
      <c r="D45" s="313"/>
      <c r="E45" s="328"/>
      <c r="F45" s="328"/>
      <c r="G45" s="263" t="s">
        <v>60</v>
      </c>
      <c r="H45" s="313" t="s">
        <v>680</v>
      </c>
      <c r="I45" s="313"/>
      <c r="J45" s="189"/>
      <c r="K45" s="310"/>
      <c r="L45" s="310"/>
      <c r="M45" s="330"/>
    </row>
    <row r="46" spans="2:13" ht="14.25" customHeight="1" x14ac:dyDescent="0.3">
      <c r="B46" s="343"/>
      <c r="C46" s="313" t="s">
        <v>61</v>
      </c>
      <c r="D46" s="313"/>
      <c r="E46" s="328"/>
      <c r="F46" s="328"/>
      <c r="G46" s="263" t="s">
        <v>62</v>
      </c>
      <c r="H46" s="313" t="s">
        <v>666</v>
      </c>
      <c r="I46" s="313"/>
      <c r="J46" s="189"/>
      <c r="K46" s="310"/>
      <c r="L46" s="310"/>
      <c r="M46" s="330"/>
    </row>
    <row r="47" spans="2:13" ht="14.25" customHeight="1" x14ac:dyDescent="0.3">
      <c r="B47" s="343"/>
      <c r="C47" s="313" t="s">
        <v>63</v>
      </c>
      <c r="D47" s="313"/>
      <c r="E47" s="328"/>
      <c r="F47" s="328"/>
      <c r="G47" s="263" t="s">
        <v>658</v>
      </c>
      <c r="H47" s="313" t="s">
        <v>667</v>
      </c>
      <c r="I47" s="313"/>
      <c r="J47" s="189"/>
      <c r="K47" s="310"/>
      <c r="L47" s="310"/>
      <c r="M47" s="330"/>
    </row>
    <row r="48" spans="2:13" ht="14.25" customHeight="1" x14ac:dyDescent="0.3">
      <c r="B48" s="343"/>
      <c r="C48" s="313" t="s">
        <v>64</v>
      </c>
      <c r="D48" s="313"/>
      <c r="E48" s="328"/>
      <c r="F48" s="328"/>
      <c r="G48" s="263" t="s">
        <v>42</v>
      </c>
      <c r="H48" s="311"/>
      <c r="I48" s="311"/>
      <c r="J48" s="311"/>
      <c r="K48" s="311"/>
      <c r="L48" s="311"/>
      <c r="M48" s="330"/>
    </row>
    <row r="49" spans="2:14" ht="14.25" customHeight="1" x14ac:dyDescent="0.3">
      <c r="B49" s="343"/>
      <c r="C49" s="313" t="s">
        <v>701</v>
      </c>
      <c r="D49" s="313"/>
      <c r="E49" s="314"/>
      <c r="F49" s="314"/>
      <c r="G49" s="263" t="s">
        <v>42</v>
      </c>
      <c r="H49" s="311"/>
      <c r="I49" s="311"/>
      <c r="J49" s="311"/>
      <c r="K49" s="311"/>
      <c r="L49" s="311"/>
      <c r="M49" s="330"/>
    </row>
    <row r="50" spans="2:14" ht="14.25" customHeight="1" x14ac:dyDescent="0.3">
      <c r="B50" s="343"/>
      <c r="C50" s="313" t="s">
        <v>648</v>
      </c>
      <c r="D50" s="313"/>
      <c r="E50" s="316">
        <f>E48-E49</f>
        <v>0</v>
      </c>
      <c r="F50" s="316"/>
      <c r="G50" s="263" t="s">
        <v>42</v>
      </c>
      <c r="H50" s="311"/>
      <c r="I50" s="311"/>
      <c r="J50" s="311"/>
      <c r="K50" s="311"/>
      <c r="L50" s="311"/>
      <c r="M50" s="330"/>
    </row>
    <row r="51" spans="2:14" ht="17" customHeight="1" x14ac:dyDescent="0.3">
      <c r="B51" s="343"/>
      <c r="C51" s="327" t="s">
        <v>649</v>
      </c>
      <c r="D51" s="327"/>
      <c r="E51" s="327"/>
      <c r="F51" s="327"/>
      <c r="G51" s="327"/>
      <c r="H51" s="327"/>
      <c r="I51" s="327"/>
      <c r="J51" s="327"/>
      <c r="K51" s="327"/>
      <c r="L51" s="327"/>
      <c r="M51" s="330"/>
    </row>
    <row r="52" spans="2:14" ht="14.25" customHeight="1" x14ac:dyDescent="0.3">
      <c r="B52" s="343"/>
      <c r="C52" s="326"/>
      <c r="D52" s="326"/>
      <c r="E52" s="326"/>
      <c r="F52" s="326"/>
      <c r="G52" s="326"/>
      <c r="H52" s="326"/>
      <c r="I52" s="326"/>
      <c r="J52" s="326"/>
      <c r="K52" s="326"/>
      <c r="L52" s="326"/>
      <c r="M52" s="330"/>
    </row>
    <row r="53" spans="2:14" ht="14.25" customHeight="1" x14ac:dyDescent="0.3">
      <c r="B53" s="343"/>
      <c r="C53" s="326"/>
      <c r="D53" s="326"/>
      <c r="E53" s="326"/>
      <c r="F53" s="326"/>
      <c r="G53" s="326"/>
      <c r="H53" s="326"/>
      <c r="I53" s="326"/>
      <c r="J53" s="326"/>
      <c r="K53" s="326"/>
      <c r="L53" s="326"/>
      <c r="M53" s="330"/>
      <c r="N53" s="145" t="s">
        <v>675</v>
      </c>
    </row>
    <row r="54" spans="2:14" ht="14.25" customHeight="1" x14ac:dyDescent="0.3">
      <c r="B54" s="343"/>
      <c r="C54" s="326"/>
      <c r="D54" s="326"/>
      <c r="E54" s="326"/>
      <c r="F54" s="326"/>
      <c r="G54" s="326"/>
      <c r="H54" s="326"/>
      <c r="I54" s="326"/>
      <c r="J54" s="326"/>
      <c r="K54" s="326"/>
      <c r="L54" s="326"/>
      <c r="M54" s="330"/>
      <c r="N54" s="145" t="s">
        <v>517</v>
      </c>
    </row>
    <row r="55" spans="2:14" ht="14.25" customHeight="1" x14ac:dyDescent="0.3">
      <c r="B55" s="343"/>
      <c r="C55" s="326"/>
      <c r="D55" s="326"/>
      <c r="E55" s="326"/>
      <c r="F55" s="326"/>
      <c r="G55" s="326"/>
      <c r="H55" s="326"/>
      <c r="I55" s="326"/>
      <c r="J55" s="326"/>
      <c r="K55" s="326"/>
      <c r="L55" s="326"/>
      <c r="M55" s="330"/>
      <c r="N55" s="145">
        <f>G37</f>
        <v>0</v>
      </c>
    </row>
    <row r="56" spans="2:14" ht="14.25" customHeight="1" x14ac:dyDescent="0.3">
      <c r="B56" s="343"/>
      <c r="C56" s="326"/>
      <c r="D56" s="326"/>
      <c r="E56" s="326"/>
      <c r="F56" s="326"/>
      <c r="G56" s="326"/>
      <c r="H56" s="326"/>
      <c r="I56" s="326"/>
      <c r="J56" s="326"/>
      <c r="K56" s="326"/>
      <c r="L56" s="326"/>
      <c r="M56" s="330"/>
      <c r="N56" s="145" t="s">
        <v>692</v>
      </c>
    </row>
    <row r="57" spans="2:14" ht="14.25" customHeight="1" x14ac:dyDescent="0.3">
      <c r="B57" s="343"/>
      <c r="C57" s="326"/>
      <c r="D57" s="326"/>
      <c r="E57" s="326"/>
      <c r="F57" s="326"/>
      <c r="G57" s="326"/>
      <c r="H57" s="326"/>
      <c r="I57" s="326"/>
      <c r="J57" s="326"/>
      <c r="K57" s="326"/>
      <c r="L57" s="326"/>
      <c r="M57" s="330"/>
    </row>
    <row r="58" spans="2:14" x14ac:dyDescent="0.3">
      <c r="B58" s="343"/>
      <c r="C58" s="181"/>
      <c r="D58" s="181"/>
      <c r="E58" s="181"/>
      <c r="F58" s="181"/>
      <c r="G58" s="181"/>
      <c r="H58" s="181"/>
      <c r="I58" s="181"/>
      <c r="J58" s="181"/>
      <c r="K58" s="181"/>
      <c r="L58" s="181"/>
      <c r="M58" s="330"/>
    </row>
    <row r="59" spans="2:14" ht="32.15" customHeight="1" x14ac:dyDescent="0.3">
      <c r="B59" s="343"/>
      <c r="C59" s="317" t="str">
        <f>"Energy Consumption by Systems Utilized in the "&amp;IF(ApplSector="Industrial","Plant ",IF(ApplSector="Commercial","Building ",""))</f>
        <v xml:space="preserve">Energy Consumption by Systems Utilized in the Building </v>
      </c>
      <c r="D59" s="317"/>
      <c r="E59" s="317"/>
      <c r="F59" s="317"/>
      <c r="G59" s="317"/>
      <c r="H59" s="317"/>
      <c r="I59" s="317"/>
      <c r="J59" s="317"/>
      <c r="K59" s="317"/>
      <c r="L59" s="317"/>
      <c r="M59" s="330"/>
    </row>
    <row r="60" spans="2:14" s="106" customFormat="1" ht="47.5" customHeight="1" x14ac:dyDescent="0.35">
      <c r="B60" s="343"/>
      <c r="C60" s="271" t="s">
        <v>65</v>
      </c>
      <c r="D60" s="271" t="s">
        <v>669</v>
      </c>
      <c r="E60" s="315" t="s">
        <v>672</v>
      </c>
      <c r="F60" s="315"/>
      <c r="G60" s="315"/>
      <c r="H60" s="315"/>
      <c r="I60" s="271" t="s">
        <v>676</v>
      </c>
      <c r="J60" s="271" t="s">
        <v>66</v>
      </c>
      <c r="K60" s="190" t="s">
        <v>677</v>
      </c>
      <c r="L60" s="190" t="s">
        <v>67</v>
      </c>
      <c r="M60" s="330"/>
    </row>
    <row r="61" spans="2:14" ht="35" customHeight="1" x14ac:dyDescent="0.3">
      <c r="B61" s="343"/>
      <c r="C61" s="268" t="s">
        <v>105</v>
      </c>
      <c r="D61" s="191"/>
      <c r="E61" s="312"/>
      <c r="F61" s="312"/>
      <c r="G61" s="312"/>
      <c r="H61" s="312"/>
      <c r="I61" s="192"/>
      <c r="J61" s="193" t="e">
        <f t="shared" ref="J61:J67" si="0">I61/$G$29</f>
        <v>#DIV/0!</v>
      </c>
      <c r="K61" s="194"/>
      <c r="L61" s="195" t="e">
        <f t="shared" ref="L61:L67" si="1">K61/$G$39</f>
        <v>#DIV/0!</v>
      </c>
      <c r="M61" s="330"/>
    </row>
    <row r="62" spans="2:14" ht="35" customHeight="1" x14ac:dyDescent="0.3">
      <c r="B62" s="343"/>
      <c r="C62" s="268" t="s">
        <v>670</v>
      </c>
      <c r="D62" s="191"/>
      <c r="E62" s="312"/>
      <c r="F62" s="312"/>
      <c r="G62" s="312"/>
      <c r="H62" s="312"/>
      <c r="I62" s="192"/>
      <c r="J62" s="193" t="e">
        <f t="shared" si="0"/>
        <v>#DIV/0!</v>
      </c>
      <c r="K62" s="194"/>
      <c r="L62" s="195" t="e">
        <f t="shared" si="1"/>
        <v>#DIV/0!</v>
      </c>
      <c r="M62" s="330"/>
    </row>
    <row r="63" spans="2:14" ht="35" customHeight="1" x14ac:dyDescent="0.3">
      <c r="B63" s="343"/>
      <c r="C63" s="268" t="s">
        <v>535</v>
      </c>
      <c r="D63" s="191"/>
      <c r="E63" s="312"/>
      <c r="F63" s="312"/>
      <c r="G63" s="312"/>
      <c r="H63" s="312"/>
      <c r="I63" s="192"/>
      <c r="J63" s="193" t="e">
        <f t="shared" si="0"/>
        <v>#DIV/0!</v>
      </c>
      <c r="K63" s="194"/>
      <c r="L63" s="195" t="e">
        <f t="shared" si="1"/>
        <v>#DIV/0!</v>
      </c>
      <c r="M63" s="330"/>
    </row>
    <row r="64" spans="2:14" ht="35" customHeight="1" x14ac:dyDescent="0.3">
      <c r="B64" s="343"/>
      <c r="C64" s="268" t="s">
        <v>674</v>
      </c>
      <c r="D64" s="191"/>
      <c r="E64" s="312"/>
      <c r="F64" s="312"/>
      <c r="G64" s="312"/>
      <c r="H64" s="312"/>
      <c r="I64" s="192"/>
      <c r="J64" s="193" t="e">
        <f t="shared" si="0"/>
        <v>#DIV/0!</v>
      </c>
      <c r="K64" s="194"/>
      <c r="L64" s="195" t="e">
        <f t="shared" si="1"/>
        <v>#DIV/0!</v>
      </c>
      <c r="M64" s="330"/>
    </row>
    <row r="65" spans="2:13" ht="35" customHeight="1" x14ac:dyDescent="0.3">
      <c r="B65" s="343"/>
      <c r="C65" s="268" t="s">
        <v>671</v>
      </c>
      <c r="D65" s="191"/>
      <c r="E65" s="312"/>
      <c r="F65" s="312"/>
      <c r="G65" s="312"/>
      <c r="H65" s="312"/>
      <c r="I65" s="192"/>
      <c r="J65" s="193" t="e">
        <f t="shared" si="0"/>
        <v>#DIV/0!</v>
      </c>
      <c r="K65" s="196"/>
      <c r="L65" s="195" t="e">
        <f t="shared" si="1"/>
        <v>#DIV/0!</v>
      </c>
      <c r="M65" s="330"/>
    </row>
    <row r="66" spans="2:13" ht="35" customHeight="1" x14ac:dyDescent="0.3">
      <c r="B66" s="343"/>
      <c r="C66" s="268" t="s">
        <v>673</v>
      </c>
      <c r="D66" s="191"/>
      <c r="E66" s="312"/>
      <c r="F66" s="312"/>
      <c r="G66" s="312"/>
      <c r="H66" s="312"/>
      <c r="I66" s="192"/>
      <c r="J66" s="193" t="e">
        <f t="shared" si="0"/>
        <v>#DIV/0!</v>
      </c>
      <c r="K66" s="196"/>
      <c r="L66" s="195" t="e">
        <f t="shared" si="1"/>
        <v>#DIV/0!</v>
      </c>
      <c r="M66" s="330"/>
    </row>
    <row r="67" spans="2:13" ht="35" customHeight="1" x14ac:dyDescent="0.3">
      <c r="B67" s="343"/>
      <c r="C67" s="268" t="s">
        <v>679</v>
      </c>
      <c r="D67" s="263" t="s">
        <v>517</v>
      </c>
      <c r="E67" s="312"/>
      <c r="F67" s="312"/>
      <c r="G67" s="312"/>
      <c r="H67" s="312"/>
      <c r="I67" s="269">
        <f>G29-SUM(I61:I66)</f>
        <v>0</v>
      </c>
      <c r="J67" s="193" t="e">
        <f t="shared" si="0"/>
        <v>#DIV/0!</v>
      </c>
      <c r="K67" s="196"/>
      <c r="L67" s="195" t="e">
        <f t="shared" si="1"/>
        <v>#DIV/0!</v>
      </c>
      <c r="M67" s="330"/>
    </row>
    <row r="68" spans="2:13" ht="23" customHeight="1" x14ac:dyDescent="0.3">
      <c r="B68" s="343"/>
      <c r="C68" s="335" t="s">
        <v>68</v>
      </c>
      <c r="D68" s="335"/>
      <c r="E68" s="335"/>
      <c r="F68" s="335"/>
      <c r="G68" s="335"/>
      <c r="H68" s="335"/>
      <c r="I68" s="197"/>
      <c r="J68" s="197" t="e">
        <f>SUM(J61:J67)</f>
        <v>#DIV/0!</v>
      </c>
      <c r="K68" s="198"/>
      <c r="L68" s="198" t="e">
        <f>SUM(L61:L67)</f>
        <v>#DIV/0!</v>
      </c>
      <c r="M68" s="330"/>
    </row>
    <row r="69" spans="2:13" ht="21" customHeight="1" x14ac:dyDescent="0.3">
      <c r="B69" s="343"/>
      <c r="C69" s="335" t="s">
        <v>69</v>
      </c>
      <c r="D69" s="335"/>
      <c r="E69" s="335"/>
      <c r="F69" s="335"/>
      <c r="G69" s="335"/>
      <c r="H69" s="335"/>
      <c r="I69" s="199">
        <f>SUM(I61:I67)</f>
        <v>0</v>
      </c>
      <c r="J69" s="199"/>
      <c r="K69" s="200">
        <f>SUM(K61:K67)</f>
        <v>0</v>
      </c>
      <c r="L69" s="201"/>
      <c r="M69" s="330"/>
    </row>
    <row r="70" spans="2:13" ht="14.5" thickBot="1" x14ac:dyDescent="0.35">
      <c r="B70" s="344"/>
      <c r="C70" s="332"/>
      <c r="D70" s="332"/>
      <c r="E70" s="332"/>
      <c r="F70" s="332"/>
      <c r="G70" s="332"/>
      <c r="H70" s="332"/>
      <c r="I70" s="332"/>
      <c r="J70" s="332"/>
      <c r="K70" s="332"/>
      <c r="L70" s="332"/>
      <c r="M70" s="331"/>
    </row>
    <row r="71" spans="2:13" x14ac:dyDescent="0.3"/>
    <row r="72" spans="2:13" x14ac:dyDescent="0.3">
      <c r="K72" s="74" t="str">
        <f>IF($G$30=0,"", IF(SUM('Basic Info'!$K$61:$K$67)&lt;0.99,"Error "&amp;TEXT(SUM('Basic Info'!$K$61:$K$67),"0.0%"),"&gt;99%"))</f>
        <v/>
      </c>
      <c r="L72" s="74" t="str">
        <f>IF($G$29=0,"", IF(SUM('Basic Info'!$L$61:$L$67)&lt;0.99,"Error "&amp;TEXT(SUM('Basic Info'!$L$61:$L$67),"0.0%"),"&gt;99%"))</f>
        <v/>
      </c>
    </row>
  </sheetData>
  <sheetProtection algorithmName="SHA-512" hashValue="bRKBvSWP7vJumyVOkSyvB0/KjlOl+PZ9F+e34/dZy6lcrq3ZWE8CDaH1TCBBAx4NUEyWiiUZgaTcwg/lFFuMRQ==" saltValue="IxZiUsbUYHG24N6Lrqwrhw==" spinCount="100000" sheet="1" selectLockedCells="1"/>
  <dataConsolidate/>
  <mergeCells count="116">
    <mergeCell ref="B2:B70"/>
    <mergeCell ref="C2:L2"/>
    <mergeCell ref="C29:F29"/>
    <mergeCell ref="J12:L12"/>
    <mergeCell ref="C41:F41"/>
    <mergeCell ref="J41:L41"/>
    <mergeCell ref="C28:F28"/>
    <mergeCell ref="C26:L26"/>
    <mergeCell ref="C37:F37"/>
    <mergeCell ref="C27:L27"/>
    <mergeCell ref="J32:L34"/>
    <mergeCell ref="G30:H30"/>
    <mergeCell ref="G29:H29"/>
    <mergeCell ref="G32:H32"/>
    <mergeCell ref="G33:H33"/>
    <mergeCell ref="D10:H10"/>
    <mergeCell ref="C44:D44"/>
    <mergeCell ref="C45:D45"/>
    <mergeCell ref="J11:L11"/>
    <mergeCell ref="C33:F33"/>
    <mergeCell ref="G28:H28"/>
    <mergeCell ref="G31:H31"/>
    <mergeCell ref="D11:H11"/>
    <mergeCell ref="G34:H34"/>
    <mergeCell ref="M2:M70"/>
    <mergeCell ref="C70:L70"/>
    <mergeCell ref="C59:L59"/>
    <mergeCell ref="C3:J3"/>
    <mergeCell ref="C9:L9"/>
    <mergeCell ref="C38:F38"/>
    <mergeCell ref="C40:F40"/>
    <mergeCell ref="J13:L13"/>
    <mergeCell ref="C30:F30"/>
    <mergeCell ref="C32:F32"/>
    <mergeCell ref="C31:F31"/>
    <mergeCell ref="C35:F35"/>
    <mergeCell ref="J37:L37"/>
    <mergeCell ref="G35:H35"/>
    <mergeCell ref="C34:F34"/>
    <mergeCell ref="C69:H69"/>
    <mergeCell ref="G38:H38"/>
    <mergeCell ref="G40:H40"/>
    <mergeCell ref="G41:H41"/>
    <mergeCell ref="C68:H68"/>
    <mergeCell ref="D14:E14"/>
    <mergeCell ref="G14:H14"/>
    <mergeCell ref="J14:L14"/>
    <mergeCell ref="D15:E15"/>
    <mergeCell ref="E67:H67"/>
    <mergeCell ref="C52:L57"/>
    <mergeCell ref="C51:L51"/>
    <mergeCell ref="C46:D46"/>
    <mergeCell ref="E44:F44"/>
    <mergeCell ref="E45:F45"/>
    <mergeCell ref="E46:F46"/>
    <mergeCell ref="H44:I44"/>
    <mergeCell ref="H45:I45"/>
    <mergeCell ref="H46:I46"/>
    <mergeCell ref="E50:F50"/>
    <mergeCell ref="C48:D48"/>
    <mergeCell ref="E48:F48"/>
    <mergeCell ref="C47:D47"/>
    <mergeCell ref="E47:F47"/>
    <mergeCell ref="E66:H66"/>
    <mergeCell ref="C50:D50"/>
    <mergeCell ref="K44:L44"/>
    <mergeCell ref="H47:I47"/>
    <mergeCell ref="C4:L4"/>
    <mergeCell ref="D5:H5"/>
    <mergeCell ref="J5:L5"/>
    <mergeCell ref="C6:C7"/>
    <mergeCell ref="D6:H7"/>
    <mergeCell ref="J6:L6"/>
    <mergeCell ref="J7:L7"/>
    <mergeCell ref="C8:L8"/>
    <mergeCell ref="D13:E13"/>
    <mergeCell ref="G13:H13"/>
    <mergeCell ref="D12:H12"/>
    <mergeCell ref="F15:L15"/>
    <mergeCell ref="D18:E18"/>
    <mergeCell ref="D24:E24"/>
    <mergeCell ref="D25:E25"/>
    <mergeCell ref="F16:L16"/>
    <mergeCell ref="F17:L17"/>
    <mergeCell ref="F18:L18"/>
    <mergeCell ref="F19:L19"/>
    <mergeCell ref="F20:L20"/>
    <mergeCell ref="F21:L21"/>
    <mergeCell ref="F22:L22"/>
    <mergeCell ref="F23:L23"/>
    <mergeCell ref="F24:L25"/>
    <mergeCell ref="D16:E16"/>
    <mergeCell ref="D17:E17"/>
    <mergeCell ref="D19:E19"/>
    <mergeCell ref="D20:E20"/>
    <mergeCell ref="D21:E21"/>
    <mergeCell ref="D22:E22"/>
    <mergeCell ref="D23:E23"/>
    <mergeCell ref="C36:F36"/>
    <mergeCell ref="G36:H36"/>
    <mergeCell ref="K45:L45"/>
    <mergeCell ref="K46:L46"/>
    <mergeCell ref="K47:L47"/>
    <mergeCell ref="H48:L50"/>
    <mergeCell ref="E65:H65"/>
    <mergeCell ref="C49:D49"/>
    <mergeCell ref="E49:F49"/>
    <mergeCell ref="E60:H60"/>
    <mergeCell ref="E61:H61"/>
    <mergeCell ref="E62:H62"/>
    <mergeCell ref="E63:H63"/>
    <mergeCell ref="E64:H64"/>
    <mergeCell ref="G39:H39"/>
    <mergeCell ref="C39:F39"/>
    <mergeCell ref="J38:L38"/>
    <mergeCell ref="C43:L43"/>
  </mergeCells>
  <conditionalFormatting sqref="C10:C11 L39 I13:I14">
    <cfRule type="expression" dxfId="110" priority="151">
      <formula>ISBLANK($C$9)=TRUE</formula>
    </cfRule>
  </conditionalFormatting>
  <conditionalFormatting sqref="K40 I61:L67">
    <cfRule type="expression" dxfId="109" priority="144">
      <formula>$D40="No"</formula>
    </cfRule>
  </conditionalFormatting>
  <conditionalFormatting sqref="I10">
    <cfRule type="expression" dxfId="108" priority="125">
      <formula>ISBLANK($C$9)=TRUE</formula>
    </cfRule>
  </conditionalFormatting>
  <conditionalFormatting sqref="L29">
    <cfRule type="expression" dxfId="107" priority="116">
      <formula>ISBLANK($C$9)=TRUE</formula>
    </cfRule>
  </conditionalFormatting>
  <conditionalFormatting sqref="L29">
    <cfRule type="expression" dxfId="106" priority="115">
      <formula>ISBLANK($C$9)=TRUE</formula>
    </cfRule>
  </conditionalFormatting>
  <conditionalFormatting sqref="L40">
    <cfRule type="expression" dxfId="105" priority="97">
      <formula>ISBLANK($C$9)=TRUE</formula>
    </cfRule>
  </conditionalFormatting>
  <conditionalFormatting sqref="L40">
    <cfRule type="expression" dxfId="104" priority="96">
      <formula>ISBLANK($C$9)=TRUE</formula>
    </cfRule>
  </conditionalFormatting>
  <conditionalFormatting sqref="I11">
    <cfRule type="expression" dxfId="103" priority="81">
      <formula>ISBLANK($C$9)=TRUE</formula>
    </cfRule>
  </conditionalFormatting>
  <conditionalFormatting sqref="J28:L28 J35 J29:J31 L29:L31 L35 J39:J40 L39:L40">
    <cfRule type="expression" dxfId="102" priority="156">
      <formula>$D$10&lt;&gt;"Commercial"</formula>
    </cfRule>
  </conditionalFormatting>
  <conditionalFormatting sqref="I68:L68">
    <cfRule type="expression" dxfId="101" priority="75">
      <formula>$D68="No"</formula>
    </cfRule>
  </conditionalFormatting>
  <conditionalFormatting sqref="C14:C23">
    <cfRule type="expression" dxfId="100" priority="64">
      <formula>ISBLANK($C$9)=TRUE</formula>
    </cfRule>
  </conditionalFormatting>
  <conditionalFormatting sqref="G35">
    <cfRule type="expression" dxfId="99" priority="61">
      <formula>$D35="No"</formula>
    </cfRule>
  </conditionalFormatting>
  <conditionalFormatting sqref="K10">
    <cfRule type="expression" dxfId="98" priority="57">
      <formula>ISBLANK($C$9)=TRUE</formula>
    </cfRule>
  </conditionalFormatting>
  <conditionalFormatting sqref="F14:F15">
    <cfRule type="expression" dxfId="97" priority="56">
      <formula>$D14="No"</formula>
    </cfRule>
  </conditionalFormatting>
  <conditionalFormatting sqref="K29:K30">
    <cfRule type="expression" dxfId="96" priority="55">
      <formula>$D29="No"</formula>
    </cfRule>
  </conditionalFormatting>
  <conditionalFormatting sqref="K35">
    <cfRule type="expression" dxfId="95" priority="54">
      <formula>$D35="No"</formula>
    </cfRule>
  </conditionalFormatting>
  <conditionalFormatting sqref="K69:L69">
    <cfRule type="expression" dxfId="94" priority="49">
      <formula>$D69="No"</formula>
    </cfRule>
  </conditionalFormatting>
  <conditionalFormatting sqref="H37">
    <cfRule type="expression" dxfId="93" priority="44">
      <formula>$D37="No"</formula>
    </cfRule>
  </conditionalFormatting>
  <conditionalFormatting sqref="G39">
    <cfRule type="expression" dxfId="92" priority="43">
      <formula>$D39="No"</formula>
    </cfRule>
  </conditionalFormatting>
  <conditionalFormatting sqref="K39">
    <cfRule type="expression" dxfId="91" priority="170">
      <formula>$D38="No"</formula>
    </cfRule>
  </conditionalFormatting>
  <conditionalFormatting sqref="K31">
    <cfRule type="expression" dxfId="90" priority="39">
      <formula>$D$10&lt;&gt;"Commercial"</formula>
    </cfRule>
  </conditionalFormatting>
  <conditionalFormatting sqref="E50">
    <cfRule type="expression" dxfId="89" priority="30">
      <formula>$D46="No"</formula>
    </cfRule>
  </conditionalFormatting>
  <conditionalFormatting sqref="I69:J69">
    <cfRule type="expression" dxfId="88" priority="25">
      <formula>$D69="No"</formula>
    </cfRule>
  </conditionalFormatting>
  <conditionalFormatting sqref="I68:J68">
    <cfRule type="expression" dxfId="87" priority="23">
      <formula>AND($I$68&lt;&gt;1,$I$68&lt;&gt;0)</formula>
    </cfRule>
  </conditionalFormatting>
  <conditionalFormatting sqref="K68:L68">
    <cfRule type="expression" dxfId="86" priority="21">
      <formula>AND($K$68&lt;&gt;0,$K$68&lt;&gt;1)</formula>
    </cfRule>
  </conditionalFormatting>
  <conditionalFormatting sqref="I6">
    <cfRule type="expression" dxfId="85" priority="20">
      <formula>ISBLANK($C$9)=TRUE</formula>
    </cfRule>
  </conditionalFormatting>
  <conditionalFormatting sqref="C13">
    <cfRule type="expression" dxfId="84" priority="19">
      <formula>ISBLANK($C$9)=TRUE</formula>
    </cfRule>
  </conditionalFormatting>
  <conditionalFormatting sqref="G13">
    <cfRule type="expression" dxfId="83" priority="18">
      <formula>$D13="No"</formula>
    </cfRule>
  </conditionalFormatting>
  <conditionalFormatting sqref="F13">
    <cfRule type="expression" dxfId="82" priority="17">
      <formula>$D13="No"</formula>
    </cfRule>
  </conditionalFormatting>
  <conditionalFormatting sqref="D13">
    <cfRule type="expression" dxfId="81" priority="16">
      <formula>$D13="No"</formula>
    </cfRule>
  </conditionalFormatting>
  <conditionalFormatting sqref="C24">
    <cfRule type="expression" dxfId="80" priority="14">
      <formula>ISBLANK($C$9)=TRUE</formula>
    </cfRule>
  </conditionalFormatting>
  <conditionalFormatting sqref="G41">
    <cfRule type="expression" dxfId="79" priority="9">
      <formula>$D41="No"</formula>
    </cfRule>
  </conditionalFormatting>
  <conditionalFormatting sqref="I65:I66">
    <cfRule type="expression" dxfId="78" priority="8">
      <formula>$D65="N/A"</formula>
    </cfRule>
  </conditionalFormatting>
  <conditionalFormatting sqref="I61:I64">
    <cfRule type="expression" dxfId="77" priority="6">
      <formula>$D61=$N$55</formula>
    </cfRule>
  </conditionalFormatting>
  <conditionalFormatting sqref="K61:K64">
    <cfRule type="expression" dxfId="76" priority="5">
      <formula>$D61="Electricity"</formula>
    </cfRule>
  </conditionalFormatting>
  <conditionalFormatting sqref="K45:L47">
    <cfRule type="expression" dxfId="75" priority="4">
      <formula>$J45&lt;&gt;"Yes"</formula>
    </cfRule>
  </conditionalFormatting>
  <conditionalFormatting sqref="J36:L36">
    <cfRule type="expression" dxfId="74" priority="3">
      <formula>$D$10&lt;&gt;"Commercial"</formula>
    </cfRule>
  </conditionalFormatting>
  <conditionalFormatting sqref="G14">
    <cfRule type="expression" dxfId="73" priority="2">
      <formula>$D14="No"</formula>
    </cfRule>
  </conditionalFormatting>
  <conditionalFormatting sqref="G31">
    <cfRule type="expression" dxfId="72" priority="1">
      <formula>$D27="No"</formula>
    </cfRule>
  </conditionalFormatting>
  <dataValidations count="11">
    <dataValidation type="list" allowBlank="1" showInputMessage="1" showErrorMessage="1" sqref="D11" xr:uid="{02FAE1C3-9FEE-4832-8C3E-C5A12EB4DC87}">
      <formula1>IF(ApplSector="Industrial",IndustryType,IF(ApplSector="Commercial",BuildingType,""))</formula1>
    </dataValidation>
    <dataValidation type="list" allowBlank="1" showInputMessage="1" showErrorMessage="1" sqref="D10" xr:uid="{24F9187E-A03B-4B64-903B-CF9399C9EDBD}">
      <formula1>Sector</formula1>
    </dataValidation>
    <dataValidation type="list" allowBlank="1" showInputMessage="1" showErrorMessage="1" sqref="G26:H26 G14" xr:uid="{8C145E69-4D30-4882-BAE9-D2DE2F705BD2}">
      <formula1>"square feet, square meters"</formula1>
    </dataValidation>
    <dataValidation type="list" allowBlank="1" showInputMessage="1" showErrorMessage="1" sqref="I37" xr:uid="{11B99057-81CF-438C-BF9C-317615BA3A9B}">
      <formula1>"L,GJ"</formula1>
    </dataValidation>
    <dataValidation type="list" allowBlank="1" showInputMessage="1" showErrorMessage="1" sqref="D22:E22" xr:uid="{7074209C-558D-44F3-8A3D-D5463130F2FC}">
      <formula1>"Steel,Concrete,Wood Frame, Heavy Timber"</formula1>
    </dataValidation>
    <dataValidation type="list" allowBlank="1" showInputMessage="1" showErrorMessage="1" sqref="D23:E23" xr:uid="{5F382992-95BA-4D98-9076-4C449D68AC18}">
      <formula1>"Single,Double,Triple"</formula1>
    </dataValidation>
    <dataValidation type="list" allowBlank="1" showInputMessage="1" showErrorMessage="1" sqref="D18:E19 J45:J47" xr:uid="{78DBD68A-E6D3-4CFD-A286-662F761A2089}">
      <formula1>"Yes,No"</formula1>
    </dataValidation>
    <dataValidation type="list" allowBlank="1" showInputMessage="1" showErrorMessage="1" sqref="D24:E24" xr:uid="{93C1867F-CD05-41C0-BBD8-BF740D8D2C94}">
      <formula1>"Excellent,Good,Adequate,Marginal,Poor"</formula1>
    </dataValidation>
    <dataValidation type="list" allowBlank="1" showInputMessage="1" showErrorMessage="1" sqref="K45:L47" xr:uid="{64005A9F-90CB-42DF-B817-FC738CCA1DE9}">
      <formula1>"Small General Service,Medium General Service,Large General Service, Residential"</formula1>
    </dataValidation>
    <dataValidation type="list" allowBlank="1" showInputMessage="1" showErrorMessage="1" sqref="D65:D66" xr:uid="{98A8CE34-CD9D-429E-874A-104FCF3F44B1}">
      <formula1>$N$53:$N$54</formula1>
    </dataValidation>
    <dataValidation type="list" allowBlank="1" showInputMessage="1" showErrorMessage="1" sqref="D61:D64" xr:uid="{E897DA75-5B3A-4713-907D-8F6F2F50F9DC}">
      <formula1>$N$54:$N$56</formula1>
    </dataValidation>
  </dataValidations>
  <printOptions horizontalCentered="1" verticalCentered="1"/>
  <pageMargins left="0.7" right="0.7" top="0.5" bottom="0.5" header="0.3" footer="0.3"/>
  <pageSetup scale="42" orientation="landscape" r:id="rId1"/>
  <ignoredErrors>
    <ignoredError sqref="I40:J40 I35:L35 J37"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36473D6-5B7D-4100-8F1E-362948B99560}">
          <x14:formula1>
            <xm:f>Variables!$K$2:$K$14</xm:f>
          </x14:formula1>
          <xm:sqref>L10</xm:sqref>
        </x14:dataValidation>
        <x14:dataValidation type="list" allowBlank="1" showInputMessage="1" showErrorMessage="1" xr:uid="{6C6F0AA7-E15A-4AAB-AC5B-371D3D0F4DCC}">
          <x14:formula1>
            <xm:f>Variables!$J$2:$J$3</xm:f>
          </x14:formula1>
          <xm:sqref>J10</xm:sqref>
        </x14:dataValidation>
        <x14:dataValidation type="list" allowBlank="1" showInputMessage="1" showErrorMessage="1" xr:uid="{CF590E2C-A195-41D4-AE6B-C9FEB7F6F804}">
          <x14:formula1>
            <xm:f>Variables!$S$2:$S$7</xm:f>
          </x14:formula1>
          <xm:sqref>G37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76EB3-4CE7-4803-99D2-14087F89A08B}">
  <sheetPr codeName="Sheet3"/>
  <dimension ref="A1:AP46"/>
  <sheetViews>
    <sheetView showGridLines="0" topLeftCell="A5" zoomScale="55" zoomScaleNormal="55" workbookViewId="0">
      <selection activeCell="D13" sqref="D13"/>
    </sheetView>
  </sheetViews>
  <sheetFormatPr defaultColWidth="0" defaultRowHeight="14" zeroHeight="1" x14ac:dyDescent="0.3"/>
  <cols>
    <col min="1" max="1" width="2.26953125" style="33" customWidth="1"/>
    <col min="2" max="2" width="7.6328125" style="36" customWidth="1"/>
    <col min="3" max="3" width="10.54296875" style="117" customWidth="1"/>
    <col min="4" max="4" width="20.26953125" style="33" customWidth="1"/>
    <col min="5" max="5" width="26.1796875" style="33" customWidth="1"/>
    <col min="6" max="6" width="42.26953125" style="33" customWidth="1"/>
    <col min="7" max="7" width="34.54296875" style="33" customWidth="1"/>
    <col min="8" max="8" width="23.08984375" style="33" customWidth="1"/>
    <col min="9" max="9" width="20.54296875" style="4" customWidth="1"/>
    <col min="10" max="11" width="17.7265625" style="118" customWidth="1"/>
    <col min="12" max="12" width="22.7265625" style="118" customWidth="1"/>
    <col min="13" max="14" width="20.54296875" style="36" hidden="1" customWidth="1"/>
    <col min="15" max="15" width="20.54296875" style="36" customWidth="1"/>
    <col min="16" max="16" width="18.81640625" style="36" customWidth="1"/>
    <col min="17" max="17" width="14.81640625" style="33" customWidth="1"/>
    <col min="18" max="18" width="56.6328125" style="153" customWidth="1"/>
    <col min="19" max="19" width="79.6328125" style="36" customWidth="1"/>
    <col min="20" max="20" width="31.81640625" style="33" hidden="1" customWidth="1"/>
    <col min="21" max="23" width="0" style="33" hidden="1" customWidth="1"/>
    <col min="24" max="29" width="20.54296875" style="33" hidden="1" customWidth="1"/>
    <col min="30" max="42" width="0" style="33" hidden="1" customWidth="1"/>
    <col min="43" max="16384" width="9.26953125" style="33" hidden="1"/>
  </cols>
  <sheetData>
    <row r="1" spans="2:20" hidden="1" x14ac:dyDescent="0.3">
      <c r="C1" s="33"/>
      <c r="I1" s="33"/>
      <c r="J1" s="36"/>
      <c r="K1" s="36"/>
      <c r="L1" s="36"/>
      <c r="R1" s="36"/>
    </row>
    <row r="2" spans="2:20" ht="18" hidden="1" x14ac:dyDescent="0.4">
      <c r="B2" s="34"/>
      <c r="C2" s="33"/>
      <c r="E2" s="155"/>
      <c r="I2" s="33"/>
      <c r="J2" s="35"/>
      <c r="K2" s="35"/>
      <c r="L2" s="358" t="str">
        <f>T('Basic Info'!D12:G12)</f>
        <v/>
      </c>
      <c r="M2" s="359"/>
      <c r="N2" s="156"/>
      <c r="P2" s="72"/>
      <c r="R2" s="36"/>
      <c r="S2" s="72"/>
    </row>
    <row r="3" spans="2:20" ht="18" hidden="1" x14ac:dyDescent="0.3">
      <c r="B3" s="37"/>
      <c r="C3" s="33"/>
      <c r="E3" s="157"/>
      <c r="I3" s="33"/>
      <c r="J3" s="38"/>
      <c r="K3" s="38"/>
      <c r="L3" s="358" t="str">
        <f>T('Basic Info'!J12:L12)</f>
        <v/>
      </c>
      <c r="M3" s="359"/>
      <c r="N3" s="156"/>
      <c r="P3" s="72">
        <f>'Basic Info'!K45</f>
        <v>0</v>
      </c>
      <c r="R3" s="36"/>
      <c r="S3" s="72"/>
    </row>
    <row r="4" spans="2:20" ht="18" hidden="1" x14ac:dyDescent="0.3">
      <c r="B4" s="37"/>
      <c r="C4" s="33"/>
      <c r="E4" s="157"/>
      <c r="I4" s="33"/>
      <c r="J4" s="38"/>
      <c r="K4" s="38"/>
      <c r="L4" s="360">
        <v>44895</v>
      </c>
      <c r="M4" s="361"/>
      <c r="N4" s="158"/>
      <c r="P4" s="38" t="e">
        <f>VLOOKUP(P3,Variables!K2:L6,2,FALSE)</f>
        <v>#N/A</v>
      </c>
      <c r="R4" s="36"/>
      <c r="S4" s="38" t="e">
        <f>IF('Basic Info'!#REF!="","",VLOOKUP('Basic Info'!#REF!,Variables!O2:P5,2,FALSE))</f>
        <v>#REF!</v>
      </c>
    </row>
    <row r="5" spans="2:20" ht="18.649999999999999" customHeight="1" thickBot="1" x14ac:dyDescent="0.35">
      <c r="B5" s="39"/>
      <c r="C5" s="40"/>
      <c r="D5" s="40"/>
      <c r="E5" s="40"/>
      <c r="F5" s="40"/>
      <c r="G5" s="40"/>
      <c r="H5" s="40"/>
      <c r="I5" s="40"/>
      <c r="J5" s="40"/>
      <c r="K5" s="40"/>
      <c r="L5" s="40"/>
      <c r="M5" s="40"/>
      <c r="N5" s="40"/>
      <c r="O5" s="40"/>
      <c r="P5" s="40"/>
      <c r="Q5" s="40"/>
      <c r="R5" s="40"/>
      <c r="S5" s="40"/>
    </row>
    <row r="6" spans="2:20" s="116" customFormat="1" ht="85.15" customHeight="1" thickBot="1" x14ac:dyDescent="0.4">
      <c r="B6" s="113"/>
      <c r="C6" s="114"/>
      <c r="D6" s="114"/>
      <c r="E6" s="114"/>
      <c r="F6" s="114"/>
      <c r="G6" s="114"/>
      <c r="H6" s="255" t="s">
        <v>70</v>
      </c>
      <c r="I6" s="256" t="str">
        <f>Table3[[#Headers],[Electricity Savings Estimate
(kWh/y)]]</f>
        <v>Electricity Savings Estimate
(kWh/y)</v>
      </c>
      <c r="J6" s="256" t="str">
        <f>Table3[[#Headers],[Fuel Savings Estimate
(GJ/y)]]</f>
        <v>Fuel Savings Estimate
(GJ/y)</v>
      </c>
      <c r="K6" s="257" t="s">
        <v>681</v>
      </c>
      <c r="L6" s="258" t="str">
        <f>Table3[[#Headers],[Implementation Cost Estimate ($)]]</f>
        <v>Implementation Cost Estimate ($)</v>
      </c>
      <c r="M6" s="258" t="str">
        <f>Table3[[#Headers],[Annual Electricity Cost Savings
($/y) ]]</f>
        <v xml:space="preserve">Annual Electricity Cost Savings
($/y) </v>
      </c>
      <c r="N6" s="258" t="str">
        <f>Table3[[#Headers],[Annual Fuel Cost Savings ($/y)]]</f>
        <v>Annual Fuel Cost Savings ($/y)</v>
      </c>
      <c r="O6" s="258" t="str">
        <f>Table3[[#Headers],[Annual Cost Savings
Total
($/y) ]]</f>
        <v xml:space="preserve">Annual Cost Savings
Total
($/y) </v>
      </c>
      <c r="P6" s="259" t="str">
        <f>Table3[[#Headers],[GHG Savings (tCO2e/y)]]</f>
        <v>GHG Savings (tCO2e/y)</v>
      </c>
      <c r="Q6" s="114"/>
      <c r="R6" s="115"/>
      <c r="S6" s="115"/>
    </row>
    <row r="7" spans="2:20" ht="35.15" customHeight="1" x14ac:dyDescent="0.3">
      <c r="B7" s="39"/>
      <c r="C7" s="73"/>
      <c r="D7" s="73"/>
      <c r="E7" s="73"/>
      <c r="F7" s="73"/>
      <c r="G7" s="73"/>
      <c r="H7" s="159" t="s">
        <v>71</v>
      </c>
      <c r="I7" s="202">
        <f>+SUMIFS($I$13:$I$32,$D$13:$D$32,$H$7,$R$13:$R$32,"&lt;&gt;Not Recommended for Implementation")</f>
        <v>0</v>
      </c>
      <c r="J7" s="203">
        <f>+SUMIFS($J$13:$J$32,$D$13:$D$32,$H$7,$R$13:$R$32,"&lt;&gt;Not Recommended for Implementation")</f>
        <v>0</v>
      </c>
      <c r="K7" s="204">
        <f>+SUMIFS($K$13:$K$32,$D$13:$D$32,$H$7,$R$13:$R$32,"&lt;&gt;Not Recommended for Implementation")</f>
        <v>0</v>
      </c>
      <c r="L7" s="204">
        <f>+SUMIFS($L$13:$L$32,$D$13:$D$32,$H$7,$R$13:$R$32,"&lt;&gt;Not Recommended for Implementation")</f>
        <v>0</v>
      </c>
      <c r="M7" s="204">
        <f>+SUMIFS($M$13:$M$32,$D$13:$D$32,$H$7,$R$13:$R$32,"&lt;&gt;Not Recommended for Implementation")</f>
        <v>0</v>
      </c>
      <c r="N7" s="205">
        <f>+SUMIFS($N$13:$N$32,$D$13:$D$32,$H$7,$R$13:$R$32,"&lt;&gt;Not Recommended for Implementation")</f>
        <v>0</v>
      </c>
      <c r="O7" s="204">
        <f>+SUMIFS($O$13:$O$32,$D$13:$D$32,$H$7,$R$13:$R$32,"&lt;&gt;Not Recommended for Implementation")</f>
        <v>0</v>
      </c>
      <c r="P7" s="206">
        <f>+SUMIFS($P$13:$P$66,$D$13:$D$66,$H$7,$S$13:$S$66,"&lt;&gt;Not Recommended for Implementation")</f>
        <v>0</v>
      </c>
      <c r="Q7" s="73"/>
      <c r="R7" s="40"/>
      <c r="S7" s="40"/>
    </row>
    <row r="8" spans="2:20" ht="35.15" customHeight="1" x14ac:dyDescent="0.3">
      <c r="B8" s="39"/>
      <c r="C8" s="73"/>
      <c r="D8" s="73"/>
      <c r="E8" s="73"/>
      <c r="F8" s="73"/>
      <c r="G8" s="73"/>
      <c r="H8" s="160" t="s">
        <v>72</v>
      </c>
      <c r="I8" s="178">
        <f>+SUMIFS($I$13:$I$32,$D$13:$D$32,$H$8,$R$13:$R$32,"&lt;&gt;Not Recommended for Implementation")</f>
        <v>0</v>
      </c>
      <c r="J8" s="207">
        <f>+SUMIFS($J$13:$J$32,$D$13:$D$32,$H$8,$R$13:$R$32,"&lt;&gt;Not Recommended for Implementation")</f>
        <v>0</v>
      </c>
      <c r="K8" s="208">
        <f>+SUMIFS($K$13:$K$32,$D$13:$D$32,$H$8,$R$13:$R$32,"&lt;&gt;Not Recommended for Implementation")</f>
        <v>0</v>
      </c>
      <c r="L8" s="208">
        <f>+SUMIFS($L$13:$L$32,$D$13:$D$32,$H$8,$R$13:$R$32,"&lt;&gt;Not Recommended for Implementation")</f>
        <v>0</v>
      </c>
      <c r="M8" s="208">
        <f>+SUMIFS($M$13:$M$32,$D$13:$D$32,$H$8,$R$13:$R$32,"&lt;&gt;Not Recommended for Implementation")</f>
        <v>0</v>
      </c>
      <c r="N8" s="209">
        <f>+SUMIFS($N$13:$N$32,$D$13:$D$32,$H$8,$R$13:$R$32,"&lt;&gt;Not Recommended for Implementation")</f>
        <v>0</v>
      </c>
      <c r="O8" s="208">
        <f>+SUMIFS($O$13:$O$32,$D$13:$D$32,$H$8,$R$13:$R$32,"&lt;&gt;Not Recommended for Implementation")</f>
        <v>0</v>
      </c>
      <c r="P8" s="210">
        <f>+SUMIFS($P$13:$P$66,$D$13:$D$66,$H$8,$S$13:$S$66,"&lt;&gt;Not Recommended for Implementation")</f>
        <v>0</v>
      </c>
      <c r="Q8" s="73"/>
      <c r="R8" s="40"/>
      <c r="S8" s="40"/>
    </row>
    <row r="9" spans="2:20" ht="35.15" customHeight="1" thickBot="1" x14ac:dyDescent="0.35">
      <c r="B9" s="39"/>
      <c r="C9" s="73"/>
      <c r="D9" s="73"/>
      <c r="E9" s="73"/>
      <c r="F9" s="73"/>
      <c r="G9" s="73"/>
      <c r="H9" s="161" t="s">
        <v>722</v>
      </c>
      <c r="I9" s="211">
        <f>+SUMIFS($I$13:$I$32,$D$13:$D$32,$H$9,$R$13:$R$32,"&lt;&gt;Not Recommended for Implementation")</f>
        <v>0</v>
      </c>
      <c r="J9" s="212">
        <f>+SUMIFS($J$13:$J$32,$D$13:$D$32,$H$9,$R$13:$R$32,"&lt;&gt;Not Recommended for Implementation")</f>
        <v>0</v>
      </c>
      <c r="K9" s="213">
        <f>+SUMIFS($K$13:$K$32,$D$13:$D$32,$H$9,$R$13:$R$32,"&lt;&gt;Not Recommended for Implementation")</f>
        <v>0</v>
      </c>
      <c r="L9" s="213">
        <f>+SUMIFS($L$13:$L$32,$D$13:$D$32,$H$9,$R$13:$R$32,"&lt;&gt;Not Recommended for Implementation")</f>
        <v>0</v>
      </c>
      <c r="M9" s="213">
        <f>+SUMIFS($M$13:$M$32,$D$13:$D$32,$H$9,$R$13:$R$32,"&lt;&gt;Not Recommended for Implementation")</f>
        <v>0</v>
      </c>
      <c r="N9" s="214">
        <f>+SUMIFS($N$13:$N$32,$D$13:$D$32,$H$9,$R$13:$R$32,"&lt;&gt;Not Recommended for Implementation")</f>
        <v>0</v>
      </c>
      <c r="O9" s="213">
        <f>+SUMIFS($O$13:$O$32,$D$13:$D$32,$H$9,$R$13:$R$32,"&lt;&gt;Not Recommended for Implementation")</f>
        <v>0</v>
      </c>
      <c r="P9" s="215">
        <f>+SUMIFS($P$13:$P$66,$D$13:$D$66,$H$9,$S$13:$S$66,"&lt;&gt;Not Recommended for Implementation")</f>
        <v>0</v>
      </c>
      <c r="Q9" s="73"/>
      <c r="R9" s="73"/>
      <c r="S9" s="40"/>
    </row>
    <row r="10" spans="2:20" ht="18.5" customHeight="1" x14ac:dyDescent="0.3">
      <c r="B10" s="39"/>
      <c r="C10" s="40"/>
      <c r="D10" s="40"/>
      <c r="E10" s="40"/>
      <c r="F10" s="40"/>
      <c r="G10" s="40"/>
      <c r="H10" s="40"/>
      <c r="I10" s="40"/>
      <c r="J10" s="40"/>
      <c r="K10" s="40"/>
      <c r="L10" s="40"/>
      <c r="M10" s="40"/>
      <c r="N10" s="40"/>
      <c r="O10" s="40"/>
      <c r="P10" s="40"/>
      <c r="Q10" s="40"/>
      <c r="R10" s="40"/>
      <c r="S10" s="40"/>
    </row>
    <row r="11" spans="2:20" ht="35.15" customHeight="1" x14ac:dyDescent="0.3">
      <c r="B11" s="39"/>
      <c r="C11" s="362" t="s">
        <v>650</v>
      </c>
      <c r="D11" s="362"/>
      <c r="E11" s="362"/>
      <c r="F11" s="362"/>
      <c r="G11" s="362"/>
      <c r="H11" s="362"/>
      <c r="I11" s="362"/>
      <c r="J11" s="362"/>
      <c r="K11" s="362"/>
      <c r="L11" s="362"/>
      <c r="M11" s="362"/>
      <c r="N11" s="362"/>
      <c r="O11" s="362"/>
      <c r="P11" s="362"/>
      <c r="Q11" s="362"/>
      <c r="R11" s="362"/>
      <c r="S11" s="362"/>
    </row>
    <row r="12" spans="2:20" s="112" customFormat="1" ht="99" customHeight="1" x14ac:dyDescent="0.35">
      <c r="B12" s="111"/>
      <c r="C12" s="252" t="s">
        <v>75</v>
      </c>
      <c r="D12" s="252" t="s">
        <v>76</v>
      </c>
      <c r="E12" s="252" t="s">
        <v>77</v>
      </c>
      <c r="F12" s="252" t="s">
        <v>19</v>
      </c>
      <c r="G12" s="252" t="s">
        <v>642</v>
      </c>
      <c r="H12" s="252" t="s">
        <v>715</v>
      </c>
      <c r="I12" s="252" t="s">
        <v>78</v>
      </c>
      <c r="J12" s="253" t="s">
        <v>79</v>
      </c>
      <c r="K12" s="253" t="s">
        <v>681</v>
      </c>
      <c r="L12" s="254" t="s">
        <v>682</v>
      </c>
      <c r="M12" s="254" t="s">
        <v>80</v>
      </c>
      <c r="N12" s="252" t="s">
        <v>81</v>
      </c>
      <c r="O12" s="252" t="s">
        <v>82</v>
      </c>
      <c r="P12" s="253" t="s">
        <v>83</v>
      </c>
      <c r="Q12" s="252" t="s">
        <v>422</v>
      </c>
      <c r="R12" s="253" t="s">
        <v>20</v>
      </c>
      <c r="S12" s="253" t="s">
        <v>695</v>
      </c>
      <c r="T12" s="279" t="s">
        <v>740</v>
      </c>
    </row>
    <row r="13" spans="2:20" s="162" customFormat="1" ht="52" customHeight="1" x14ac:dyDescent="0.3">
      <c r="B13" s="163"/>
      <c r="C13" s="240">
        <v>1</v>
      </c>
      <c r="D13" s="241"/>
      <c r="E13" s="242"/>
      <c r="F13" s="243"/>
      <c r="G13" s="260"/>
      <c r="H13"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3" s="278"/>
      <c r="J13" s="245"/>
      <c r="K13" s="246"/>
      <c r="L13" s="246"/>
      <c r="M13" s="247" t="e">
        <f t="shared" ref="M13:M32" si="0">IF(OR($P$4="",I13=""),"",$P$4*I13)</f>
        <v>#N/A</v>
      </c>
      <c r="N13" s="248" t="str">
        <f>+IF(Table3[[#This Row],[Fuel Savings Estimate
(GJ/y)]]="","",Table3[[#This Row],[Fuel Savings Estimate
(GJ/y)]]*(IF('Basic Info'!$G$41="",'Basic Info'!$G$40/'Basic Info'!$G$38,'Basic Info'!$G$41)))</f>
        <v/>
      </c>
      <c r="O13" s="249" t="e">
        <f>SUM(Table3[[#This Row],[Annual Electricity Cost Savings
($/y) ]:[Annual Fuel Cost Savings ($/y)]])</f>
        <v>#N/A</v>
      </c>
      <c r="P13" s="250">
        <f>(IF('Basic Info'!$G$37=Variables!$S$2,Variables!$T$2,IF('Basic Info'!$G$37=Variables!$S$3,Variables!$T$3,IF('Basic Info'!$G$37=Variables!$S$4,Variables!$T$4,IF('Basic Info'!$G$37=Variables!$S$5,Variables!$T$5))))*Table3[[#This Row],[Fuel Savings Estimate
(GJ/y)]])+(Table3[[#This Row],[Electricity Savings Estimate
(kWh/y)]]*Variables!$T$10)</f>
        <v>0</v>
      </c>
      <c r="Q13" s="243"/>
      <c r="R13" s="242"/>
      <c r="S13" s="251"/>
      <c r="T13" s="280">
        <f>SIGN(COUNTIF(Prescriptive[#Headers],Table3[[#This Row],[End Use]]))</f>
        <v>0</v>
      </c>
    </row>
    <row r="14" spans="2:20" s="162" customFormat="1" ht="52" customHeight="1" x14ac:dyDescent="0.3">
      <c r="B14" s="163"/>
      <c r="C14" s="216">
        <v>2</v>
      </c>
      <c r="D14" s="217"/>
      <c r="E14" s="242"/>
      <c r="F14" s="219"/>
      <c r="G14" s="261"/>
      <c r="H14"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4" s="220"/>
      <c r="J14" s="221"/>
      <c r="K14" s="222"/>
      <c r="L14" s="222"/>
      <c r="M14" s="223" t="e">
        <f t="shared" si="0"/>
        <v>#N/A</v>
      </c>
      <c r="N14" s="227" t="str">
        <f>+IF(Table3[[#This Row],[Fuel Savings Estimate
(GJ/y)]]="","",Table3[[#This Row],[Fuel Savings Estimate
(GJ/y)]]*(IF('Basic Info'!$G$41="",'Basic Info'!$G$40/'Basic Info'!$G$38,'Basic Info'!$G$41)))</f>
        <v/>
      </c>
      <c r="O14" s="224" t="e">
        <f>SUM(Table3[[#This Row],[Annual Electricity Cost Savings
($/y) ]:[Annual Fuel Cost Savings ($/y)]])</f>
        <v>#N/A</v>
      </c>
      <c r="P14" s="225">
        <f>(IF('Basic Info'!$G$37=Variables!$S$2,Variables!$T$2,IF('Basic Info'!$G$37=Variables!$S$3,Variables!$T$3,IF('Basic Info'!$G$37=Variables!$S$4,Variables!$T$4,IF('Basic Info'!$G$37=Variables!$S$5,Variables!$T$5))))*Table3[[#This Row],[Fuel Savings Estimate
(GJ/y)]])+(Table3[[#This Row],[Electricity Savings Estimate
(kWh/y)]]*Variables!$T$10)</f>
        <v>0</v>
      </c>
      <c r="Q14" s="219"/>
      <c r="R14" s="218"/>
      <c r="S14" s="226"/>
      <c r="T14" s="280">
        <f>SIGN(COUNTIF(Prescriptive[#Headers],Table3[[#This Row],[End Use]]))</f>
        <v>0</v>
      </c>
    </row>
    <row r="15" spans="2:20" s="162" customFormat="1" ht="52" customHeight="1" x14ac:dyDescent="0.3">
      <c r="B15" s="163"/>
      <c r="C15" s="216">
        <v>3</v>
      </c>
      <c r="D15" s="217"/>
      <c r="E15" s="242"/>
      <c r="F15" s="219"/>
      <c r="G15" s="261"/>
      <c r="H15"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5" s="220"/>
      <c r="J15" s="221"/>
      <c r="K15" s="222"/>
      <c r="L15" s="222"/>
      <c r="M15" s="223" t="e">
        <f t="shared" si="0"/>
        <v>#N/A</v>
      </c>
      <c r="N15" s="227" t="str">
        <f>+IF(Table3[[#This Row],[Fuel Savings Estimate
(GJ/y)]]="","",Table3[[#This Row],[Fuel Savings Estimate
(GJ/y)]]*(IF('Basic Info'!$G$41="",'Basic Info'!$G$40/'Basic Info'!$G$38,'Basic Info'!$G$41)))</f>
        <v/>
      </c>
      <c r="O15" s="224" t="e">
        <f>SUM(Table3[[#This Row],[Annual Electricity Cost Savings
($/y) ]:[Annual Fuel Cost Savings ($/y)]])</f>
        <v>#N/A</v>
      </c>
      <c r="P15" s="225">
        <f>(IF('Basic Info'!$G$37=Variables!$S$2,Variables!$T$2,IF('Basic Info'!$G$37=Variables!$S$3,Variables!$T$3,IF('Basic Info'!$G$37=Variables!$S$4,Variables!$T$4,IF('Basic Info'!$G$37=Variables!$S$5,Variables!$T$5))))*Table3[[#This Row],[Fuel Savings Estimate
(GJ/y)]])+(Table3[[#This Row],[Electricity Savings Estimate
(kWh/y)]]*Variables!$T$10)</f>
        <v>0</v>
      </c>
      <c r="Q15" s="219"/>
      <c r="R15" s="218"/>
      <c r="S15" s="226"/>
      <c r="T15" s="280">
        <f>SIGN(COUNTIF(Prescriptive[#Headers],Table3[[#This Row],[End Use]]))</f>
        <v>0</v>
      </c>
    </row>
    <row r="16" spans="2:20" s="164" customFormat="1" ht="52" customHeight="1" x14ac:dyDescent="0.35">
      <c r="B16" s="165"/>
      <c r="C16" s="216">
        <v>4</v>
      </c>
      <c r="D16" s="217"/>
      <c r="E16" s="242"/>
      <c r="F16" s="219"/>
      <c r="G16" s="261"/>
      <c r="H16"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6" s="220"/>
      <c r="J16" s="221"/>
      <c r="K16" s="222"/>
      <c r="L16" s="222"/>
      <c r="M16" s="223" t="e">
        <f t="shared" si="0"/>
        <v>#N/A</v>
      </c>
      <c r="N16" s="227" t="str">
        <f>+IF(Table3[[#This Row],[Fuel Savings Estimate
(GJ/y)]]="","",Table3[[#This Row],[Fuel Savings Estimate
(GJ/y)]]*(IF('Basic Info'!$G$41="",'Basic Info'!$G$40/'Basic Info'!$G$38,'Basic Info'!$G$41)))</f>
        <v/>
      </c>
      <c r="O16" s="224" t="e">
        <f>SUM(Table3[[#This Row],[Annual Electricity Cost Savings
($/y) ]:[Annual Fuel Cost Savings ($/y)]])</f>
        <v>#N/A</v>
      </c>
      <c r="P16" s="225">
        <f>(IF('Basic Info'!$G$37=Variables!$S$2,Variables!$T$2,IF('Basic Info'!$G$37=Variables!$S$3,Variables!$T$3,IF('Basic Info'!$G$37=Variables!$S$4,Variables!$T$4,IF('Basic Info'!$G$37=Variables!$S$5,Variables!$T$5))))*Table3[[#This Row],[Fuel Savings Estimate
(GJ/y)]])+(Table3[[#This Row],[Electricity Savings Estimate
(kWh/y)]]*Variables!$T$10)</f>
        <v>0</v>
      </c>
      <c r="Q16" s="219"/>
      <c r="R16" s="218"/>
      <c r="S16" s="226"/>
      <c r="T16" s="280">
        <f>SIGN(COUNTIF(Prescriptive[#Headers],Table3[[#This Row],[End Use]]))</f>
        <v>0</v>
      </c>
    </row>
    <row r="17" spans="2:20" s="164" customFormat="1" ht="52" customHeight="1" x14ac:dyDescent="0.35">
      <c r="B17" s="165"/>
      <c r="C17" s="216">
        <v>5</v>
      </c>
      <c r="D17" s="217"/>
      <c r="E17" s="242"/>
      <c r="F17" s="219"/>
      <c r="G17" s="261"/>
      <c r="H17"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7" s="220"/>
      <c r="J17" s="221"/>
      <c r="K17" s="222"/>
      <c r="L17" s="222"/>
      <c r="M17" s="223" t="e">
        <f t="shared" si="0"/>
        <v>#N/A</v>
      </c>
      <c r="N17" s="227" t="str">
        <f>+IF(Table3[[#This Row],[Fuel Savings Estimate
(GJ/y)]]="","",Table3[[#This Row],[Fuel Savings Estimate
(GJ/y)]]*(IF('Basic Info'!$G$41="",'Basic Info'!$G$40/'Basic Info'!$G$38,'Basic Info'!$G$41)))</f>
        <v/>
      </c>
      <c r="O17" s="224" t="e">
        <f>SUM(Table3[[#This Row],[Annual Electricity Cost Savings
($/y) ]:[Annual Fuel Cost Savings ($/y)]])</f>
        <v>#N/A</v>
      </c>
      <c r="P17" s="225">
        <f>(IF('Basic Info'!$G$37=Variables!$S$2,Variables!$T$2,IF('Basic Info'!$G$37=Variables!$S$3,Variables!$T$3,IF('Basic Info'!$G$37=Variables!$S$4,Variables!$T$4,IF('Basic Info'!$G$37=Variables!$S$5,Variables!$T$5))))*Table3[[#This Row],[Fuel Savings Estimate
(GJ/y)]])+(Table3[[#This Row],[Electricity Savings Estimate
(kWh/y)]]*Variables!$T$10)</f>
        <v>0</v>
      </c>
      <c r="Q17" s="219"/>
      <c r="R17" s="218"/>
      <c r="S17" s="226"/>
      <c r="T17" s="280">
        <f>SIGN(COUNTIF(Prescriptive[#Headers],Table3[[#This Row],[End Use]]))</f>
        <v>0</v>
      </c>
    </row>
    <row r="18" spans="2:20" s="164" customFormat="1" ht="52" customHeight="1" x14ac:dyDescent="0.35">
      <c r="B18" s="165"/>
      <c r="C18" s="216">
        <v>6</v>
      </c>
      <c r="D18" s="217"/>
      <c r="E18" s="242"/>
      <c r="F18" s="219"/>
      <c r="G18" s="261"/>
      <c r="H18"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8" s="220"/>
      <c r="J18" s="221"/>
      <c r="K18" s="222"/>
      <c r="L18" s="222"/>
      <c r="M18" s="223" t="e">
        <f t="shared" si="0"/>
        <v>#N/A</v>
      </c>
      <c r="N18" s="227" t="str">
        <f>+IF(Table3[[#This Row],[Fuel Savings Estimate
(GJ/y)]]="","",Table3[[#This Row],[Fuel Savings Estimate
(GJ/y)]]*(IF('Basic Info'!$G$41="",'Basic Info'!$G$40/'Basic Info'!$G$38,'Basic Info'!$G$41)))</f>
        <v/>
      </c>
      <c r="O18" s="224" t="e">
        <f>SUM(Table3[[#This Row],[Annual Electricity Cost Savings
($/y) ]:[Annual Fuel Cost Savings ($/y)]])</f>
        <v>#N/A</v>
      </c>
      <c r="P18" s="225">
        <f>(IF('Basic Info'!$G$37=Variables!$S$2,Variables!$T$2,IF('Basic Info'!$G$37=Variables!$S$3,Variables!$T$3,IF('Basic Info'!$G$37=Variables!$S$4,Variables!$T$4,IF('Basic Info'!$G$37=Variables!$S$5,Variables!$T$5))))*Table3[[#This Row],[Fuel Savings Estimate
(GJ/y)]])+(Table3[[#This Row],[Electricity Savings Estimate
(kWh/y)]]*Variables!$T$10)</f>
        <v>0</v>
      </c>
      <c r="Q18" s="219"/>
      <c r="R18" s="218"/>
      <c r="S18" s="226"/>
      <c r="T18" s="280">
        <f>SIGN(COUNTIF(Prescriptive[#Headers],Table3[[#This Row],[End Use]]))</f>
        <v>0</v>
      </c>
    </row>
    <row r="19" spans="2:20" s="164" customFormat="1" ht="52" customHeight="1" x14ac:dyDescent="0.35">
      <c r="B19" s="165"/>
      <c r="C19" s="216">
        <v>7</v>
      </c>
      <c r="D19" s="217"/>
      <c r="E19" s="242"/>
      <c r="F19" s="219"/>
      <c r="G19" s="261"/>
      <c r="H19"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19" s="220"/>
      <c r="J19" s="221"/>
      <c r="K19" s="221"/>
      <c r="L19" s="222"/>
      <c r="M19" s="223" t="e">
        <f t="shared" si="0"/>
        <v>#N/A</v>
      </c>
      <c r="N19" s="227" t="str">
        <f>+IF(Table3[[#This Row],[Fuel Savings Estimate
(GJ/y)]]="","",Table3[[#This Row],[Fuel Savings Estimate
(GJ/y)]]*(IF('Basic Info'!$G$41="",'Basic Info'!$G$40/'Basic Info'!$G$38,'Basic Info'!$G$41)))</f>
        <v/>
      </c>
      <c r="O19" s="224" t="e">
        <f>SUM(Table3[[#This Row],[Annual Electricity Cost Savings
($/y) ]:[Annual Fuel Cost Savings ($/y)]])</f>
        <v>#N/A</v>
      </c>
      <c r="P19" s="225">
        <f>(IF('Basic Info'!$G$37=Variables!$S$2,Variables!$T$2,IF('Basic Info'!$G$37=Variables!$S$3,Variables!$T$3,IF('Basic Info'!$G$37=Variables!$S$4,Variables!$T$4,IF('Basic Info'!$G$37=Variables!$S$5,Variables!$T$5))))*Table3[[#This Row],[Fuel Savings Estimate
(GJ/y)]])+(Table3[[#This Row],[Electricity Savings Estimate
(kWh/y)]]*Variables!$T$10)</f>
        <v>0</v>
      </c>
      <c r="Q19" s="219"/>
      <c r="R19" s="218"/>
      <c r="S19" s="226"/>
      <c r="T19" s="280">
        <f>SIGN(COUNTIF(Prescriptive[#Headers],Table3[[#This Row],[End Use]]))</f>
        <v>0</v>
      </c>
    </row>
    <row r="20" spans="2:20" s="164" customFormat="1" ht="52" customHeight="1" x14ac:dyDescent="0.35">
      <c r="B20" s="165"/>
      <c r="C20" s="216">
        <v>8</v>
      </c>
      <c r="D20" s="217"/>
      <c r="E20" s="242"/>
      <c r="F20" s="219"/>
      <c r="G20" s="261"/>
      <c r="H20"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0" s="220"/>
      <c r="J20" s="221"/>
      <c r="K20" s="221"/>
      <c r="L20" s="222"/>
      <c r="M20" s="223" t="e">
        <f t="shared" si="0"/>
        <v>#N/A</v>
      </c>
      <c r="N20" s="227" t="str">
        <f>+IF(Table3[[#This Row],[Fuel Savings Estimate
(GJ/y)]]="","",Table3[[#This Row],[Fuel Savings Estimate
(GJ/y)]]*(IF('Basic Info'!$G$41="",'Basic Info'!$G$40/'Basic Info'!$G$38,'Basic Info'!$G$41)))</f>
        <v/>
      </c>
      <c r="O20" s="224" t="e">
        <f>SUM(Table3[[#This Row],[Annual Electricity Cost Savings
($/y) ]:[Annual Fuel Cost Savings ($/y)]])</f>
        <v>#N/A</v>
      </c>
      <c r="P20" s="225">
        <f>(IF('Basic Info'!$G$37=Variables!$S$2,Variables!$T$2,IF('Basic Info'!$G$37=Variables!$S$3,Variables!$T$3,IF('Basic Info'!$G$37=Variables!$S$4,Variables!$T$4,IF('Basic Info'!$G$37=Variables!$S$5,Variables!$T$5))))*Table3[[#This Row],[Fuel Savings Estimate
(GJ/y)]])+(Table3[[#This Row],[Electricity Savings Estimate
(kWh/y)]]*Variables!$T$10)</f>
        <v>0</v>
      </c>
      <c r="Q20" s="219"/>
      <c r="R20" s="218"/>
      <c r="S20" s="226"/>
      <c r="T20" s="280">
        <f>SIGN(COUNTIF(Prescriptive[#Headers],Table3[[#This Row],[End Use]]))</f>
        <v>0</v>
      </c>
    </row>
    <row r="21" spans="2:20" s="164" customFormat="1" ht="52" customHeight="1" x14ac:dyDescent="0.35">
      <c r="B21" s="165"/>
      <c r="C21" s="216">
        <v>9</v>
      </c>
      <c r="D21" s="217"/>
      <c r="E21" s="242"/>
      <c r="F21" s="219"/>
      <c r="G21" s="261"/>
      <c r="H21"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1" s="220"/>
      <c r="J21" s="221"/>
      <c r="K21" s="221"/>
      <c r="L21" s="222"/>
      <c r="M21" s="223" t="e">
        <f t="shared" si="0"/>
        <v>#N/A</v>
      </c>
      <c r="N21" s="227" t="str">
        <f>+IF(Table3[[#This Row],[Fuel Savings Estimate
(GJ/y)]]="","",Table3[[#This Row],[Fuel Savings Estimate
(GJ/y)]]*(IF('Basic Info'!$G$41="",'Basic Info'!$G$40/'Basic Info'!$G$38,'Basic Info'!$G$41)))</f>
        <v/>
      </c>
      <c r="O21" s="224" t="e">
        <f>SUM(Table3[[#This Row],[Annual Electricity Cost Savings
($/y) ]:[Annual Fuel Cost Savings ($/y)]])</f>
        <v>#N/A</v>
      </c>
      <c r="P21" s="225">
        <f>(IF('Basic Info'!$G$37=Variables!$S$2,Variables!$T$2,IF('Basic Info'!$G$37=Variables!$S$3,Variables!$T$3,IF('Basic Info'!$G$37=Variables!$S$4,Variables!$T$4,IF('Basic Info'!$G$37=Variables!$S$5,Variables!$T$5))))*Table3[[#This Row],[Fuel Savings Estimate
(GJ/y)]])+(Table3[[#This Row],[Electricity Savings Estimate
(kWh/y)]]*Variables!$T$10)</f>
        <v>0</v>
      </c>
      <c r="Q21" s="219"/>
      <c r="R21" s="218"/>
      <c r="S21" s="226"/>
      <c r="T21" s="280">
        <f>SIGN(COUNTIF(Prescriptive[#Headers],Table3[[#This Row],[End Use]]))</f>
        <v>0</v>
      </c>
    </row>
    <row r="22" spans="2:20" s="164" customFormat="1" ht="52" customHeight="1" x14ac:dyDescent="0.35">
      <c r="B22" s="165"/>
      <c r="C22" s="216">
        <v>10</v>
      </c>
      <c r="D22" s="217"/>
      <c r="E22" s="242"/>
      <c r="F22" s="219"/>
      <c r="G22" s="261"/>
      <c r="H22"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2" s="220"/>
      <c r="J22" s="221"/>
      <c r="K22" s="221"/>
      <c r="L22" s="222"/>
      <c r="M22" s="223" t="e">
        <f t="shared" si="0"/>
        <v>#N/A</v>
      </c>
      <c r="N22" s="227" t="str">
        <f>+IF(Table3[[#This Row],[Fuel Savings Estimate
(GJ/y)]]="","",Table3[[#This Row],[Fuel Savings Estimate
(GJ/y)]]*(IF('Basic Info'!$G$41="",'Basic Info'!$G$40/'Basic Info'!$G$38,'Basic Info'!$G$41)))</f>
        <v/>
      </c>
      <c r="O22" s="224" t="e">
        <f>SUM(Table3[[#This Row],[Annual Electricity Cost Savings
($/y) ]:[Annual Fuel Cost Savings ($/y)]])</f>
        <v>#N/A</v>
      </c>
      <c r="P22" s="225">
        <f>(IF('Basic Info'!$G$37=Variables!$S$2,Variables!$T$2,IF('Basic Info'!$G$37=Variables!$S$3,Variables!$T$3,IF('Basic Info'!$G$37=Variables!$S$4,Variables!$T$4,IF('Basic Info'!$G$37=Variables!$S$5,Variables!$T$5))))*Table3[[#This Row],[Fuel Savings Estimate
(GJ/y)]])+(Table3[[#This Row],[Electricity Savings Estimate
(kWh/y)]]*Variables!$T$10)</f>
        <v>0</v>
      </c>
      <c r="Q22" s="219"/>
      <c r="R22" s="218"/>
      <c r="S22" s="226"/>
      <c r="T22" s="280">
        <f>SIGN(COUNTIF(Prescriptive[#Headers],Table3[[#This Row],[End Use]]))</f>
        <v>0</v>
      </c>
    </row>
    <row r="23" spans="2:20" s="164" customFormat="1" ht="52" customHeight="1" x14ac:dyDescent="0.35">
      <c r="B23" s="165"/>
      <c r="C23" s="216">
        <v>11</v>
      </c>
      <c r="D23" s="217"/>
      <c r="E23" s="242"/>
      <c r="F23" s="219"/>
      <c r="G23" s="261"/>
      <c r="H23"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3" s="220"/>
      <c r="J23" s="221"/>
      <c r="K23" s="221"/>
      <c r="L23" s="222"/>
      <c r="M23" s="223" t="e">
        <f t="shared" si="0"/>
        <v>#N/A</v>
      </c>
      <c r="N23" s="227" t="str">
        <f>+IF(Table3[[#This Row],[Fuel Savings Estimate
(GJ/y)]]="","",Table3[[#This Row],[Fuel Savings Estimate
(GJ/y)]]*(IF('Basic Info'!$G$41="",'Basic Info'!$G$40/'Basic Info'!$G$38,'Basic Info'!$G$41)))</f>
        <v/>
      </c>
      <c r="O23" s="224" t="e">
        <f>SUM(Table3[[#This Row],[Annual Electricity Cost Savings
($/y) ]:[Annual Fuel Cost Savings ($/y)]])</f>
        <v>#N/A</v>
      </c>
      <c r="P23" s="225">
        <f>(IF('Basic Info'!$G$37=Variables!$S$2,Variables!$T$2,IF('Basic Info'!$G$37=Variables!$S$3,Variables!$T$3,IF('Basic Info'!$G$37=Variables!$S$4,Variables!$T$4,IF('Basic Info'!$G$37=Variables!$S$5,Variables!$T$5))))*Table3[[#This Row],[Fuel Savings Estimate
(GJ/y)]])+(Table3[[#This Row],[Electricity Savings Estimate
(kWh/y)]]*Variables!$T$10)</f>
        <v>0</v>
      </c>
      <c r="Q23" s="219"/>
      <c r="R23" s="218"/>
      <c r="S23" s="226"/>
      <c r="T23" s="280">
        <f>SIGN(COUNTIF(Prescriptive[#Headers],Table3[[#This Row],[End Use]]))</f>
        <v>0</v>
      </c>
    </row>
    <row r="24" spans="2:20" s="164" customFormat="1" ht="52" customHeight="1" x14ac:dyDescent="0.35">
      <c r="B24" s="165"/>
      <c r="C24" s="216">
        <v>12</v>
      </c>
      <c r="D24" s="217"/>
      <c r="E24" s="242"/>
      <c r="F24" s="219"/>
      <c r="G24" s="261"/>
      <c r="H24"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4" s="220"/>
      <c r="J24" s="221"/>
      <c r="K24" s="221"/>
      <c r="L24" s="222"/>
      <c r="M24" s="223" t="e">
        <f t="shared" si="0"/>
        <v>#N/A</v>
      </c>
      <c r="N24" s="227" t="str">
        <f>+IF(Table3[[#This Row],[Fuel Savings Estimate
(GJ/y)]]="","",Table3[[#This Row],[Fuel Savings Estimate
(GJ/y)]]*(IF('Basic Info'!$G$41="",'Basic Info'!$G$40/'Basic Info'!$G$38,'Basic Info'!$G$41)))</f>
        <v/>
      </c>
      <c r="O24" s="224" t="e">
        <f>SUM(Table3[[#This Row],[Annual Electricity Cost Savings
($/y) ]:[Annual Fuel Cost Savings ($/y)]])</f>
        <v>#N/A</v>
      </c>
      <c r="P24" s="225">
        <f>(IF('Basic Info'!$G$37=Variables!$S$2,Variables!$T$2,IF('Basic Info'!$G$37=Variables!$S$3,Variables!$T$3,IF('Basic Info'!$G$37=Variables!$S$4,Variables!$T$4,IF('Basic Info'!$G$37=Variables!$S$5,Variables!$T$5))))*Table3[[#This Row],[Fuel Savings Estimate
(GJ/y)]])+(Table3[[#This Row],[Electricity Savings Estimate
(kWh/y)]]*Variables!$T$10)</f>
        <v>0</v>
      </c>
      <c r="Q24" s="219"/>
      <c r="R24" s="218"/>
      <c r="S24" s="226"/>
      <c r="T24" s="280">
        <f>SIGN(COUNTIF(Prescriptive[#Headers],Table3[[#This Row],[End Use]]))</f>
        <v>0</v>
      </c>
    </row>
    <row r="25" spans="2:20" s="164" customFormat="1" ht="52" customHeight="1" x14ac:dyDescent="0.35">
      <c r="B25" s="165"/>
      <c r="C25" s="216">
        <v>13</v>
      </c>
      <c r="D25" s="217"/>
      <c r="E25" s="242"/>
      <c r="F25" s="219"/>
      <c r="G25" s="261"/>
      <c r="H25"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5" s="220"/>
      <c r="J25" s="221"/>
      <c r="K25" s="221"/>
      <c r="L25" s="222"/>
      <c r="M25" s="223" t="e">
        <f t="shared" si="0"/>
        <v>#N/A</v>
      </c>
      <c r="N25" s="227" t="str">
        <f>+IF(Table3[[#This Row],[Fuel Savings Estimate
(GJ/y)]]="","",Table3[[#This Row],[Fuel Savings Estimate
(GJ/y)]]*(IF('Basic Info'!$G$41="",'Basic Info'!$G$40/'Basic Info'!$G$38,'Basic Info'!$G$41)))</f>
        <v/>
      </c>
      <c r="O25" s="224" t="e">
        <f>SUM(Table3[[#This Row],[Annual Electricity Cost Savings
($/y) ]:[Annual Fuel Cost Savings ($/y)]])</f>
        <v>#N/A</v>
      </c>
      <c r="P25" s="225">
        <f>(IF('Basic Info'!$G$37=Variables!$S$2,Variables!$T$2,IF('Basic Info'!$G$37=Variables!$S$3,Variables!$T$3,IF('Basic Info'!$G$37=Variables!$S$4,Variables!$T$4,IF('Basic Info'!$G$37=Variables!$S$5,Variables!$T$5))))*Table3[[#This Row],[Fuel Savings Estimate
(GJ/y)]])+(Table3[[#This Row],[Electricity Savings Estimate
(kWh/y)]]*Variables!$T$10)</f>
        <v>0</v>
      </c>
      <c r="Q25" s="219"/>
      <c r="R25" s="218"/>
      <c r="S25" s="226"/>
      <c r="T25" s="280">
        <f>SIGN(COUNTIF(Prescriptive[#Headers],Table3[[#This Row],[End Use]]))</f>
        <v>0</v>
      </c>
    </row>
    <row r="26" spans="2:20" s="164" customFormat="1" ht="52" customHeight="1" x14ac:dyDescent="0.35">
      <c r="B26" s="165"/>
      <c r="C26" s="216">
        <v>14</v>
      </c>
      <c r="D26" s="217"/>
      <c r="E26" s="242"/>
      <c r="F26" s="219"/>
      <c r="G26" s="261"/>
      <c r="H26"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6" s="220"/>
      <c r="J26" s="221"/>
      <c r="K26" s="221"/>
      <c r="L26" s="222"/>
      <c r="M26" s="223" t="e">
        <f t="shared" si="0"/>
        <v>#N/A</v>
      </c>
      <c r="N26" s="227" t="str">
        <f>+IF(Table3[[#This Row],[Fuel Savings Estimate
(GJ/y)]]="","",Table3[[#This Row],[Fuel Savings Estimate
(GJ/y)]]*(IF('Basic Info'!$G$41="",'Basic Info'!$G$40/'Basic Info'!$G$38,'Basic Info'!$G$41)))</f>
        <v/>
      </c>
      <c r="O26" s="224" t="e">
        <f>SUM(Table3[[#This Row],[Annual Electricity Cost Savings
($/y) ]:[Annual Fuel Cost Savings ($/y)]])</f>
        <v>#N/A</v>
      </c>
      <c r="P26" s="225">
        <f>(IF('Basic Info'!$G$37=Variables!$S$2,Variables!$T$2,IF('Basic Info'!$G$37=Variables!$S$3,Variables!$T$3,IF('Basic Info'!$G$37=Variables!$S$4,Variables!$T$4,IF('Basic Info'!$G$37=Variables!$S$5,Variables!$T$5))))*Table3[[#This Row],[Fuel Savings Estimate
(GJ/y)]])+(Table3[[#This Row],[Electricity Savings Estimate
(kWh/y)]]*Variables!$T$10)</f>
        <v>0</v>
      </c>
      <c r="Q26" s="219"/>
      <c r="R26" s="218"/>
      <c r="S26" s="226"/>
      <c r="T26" s="280">
        <f>SIGN(COUNTIF(Prescriptive[#Headers],Table3[[#This Row],[End Use]]))</f>
        <v>0</v>
      </c>
    </row>
    <row r="27" spans="2:20" s="164" customFormat="1" ht="52" customHeight="1" x14ac:dyDescent="0.35">
      <c r="B27" s="165"/>
      <c r="C27" s="216">
        <v>15</v>
      </c>
      <c r="D27" s="217"/>
      <c r="E27" s="242"/>
      <c r="F27" s="219"/>
      <c r="G27" s="261"/>
      <c r="H27"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7" s="220"/>
      <c r="J27" s="221"/>
      <c r="K27" s="221"/>
      <c r="L27" s="222"/>
      <c r="M27" s="223" t="e">
        <f t="shared" si="0"/>
        <v>#N/A</v>
      </c>
      <c r="N27" s="227" t="str">
        <f>+IF(Table3[[#This Row],[Fuel Savings Estimate
(GJ/y)]]="","",Table3[[#This Row],[Fuel Savings Estimate
(GJ/y)]]*(IF('Basic Info'!$G$41="",'Basic Info'!$G$40/'Basic Info'!$G$38,'Basic Info'!$G$41)))</f>
        <v/>
      </c>
      <c r="O27" s="224" t="e">
        <f>SUM(Table3[[#This Row],[Annual Electricity Cost Savings
($/y) ]:[Annual Fuel Cost Savings ($/y)]])</f>
        <v>#N/A</v>
      </c>
      <c r="P27" s="225">
        <f>(IF('Basic Info'!$G$37=Variables!$S$2,Variables!$T$2,IF('Basic Info'!$G$37=Variables!$S$3,Variables!$T$3,IF('Basic Info'!$G$37=Variables!$S$4,Variables!$T$4,IF('Basic Info'!$G$37=Variables!$S$5,Variables!$T$5))))*Table3[[#This Row],[Fuel Savings Estimate
(GJ/y)]])+(Table3[[#This Row],[Electricity Savings Estimate
(kWh/y)]]*Variables!$T$10)</f>
        <v>0</v>
      </c>
      <c r="Q27" s="219"/>
      <c r="R27" s="218"/>
      <c r="S27" s="226"/>
      <c r="T27" s="280">
        <f>SIGN(COUNTIF(Prescriptive[#Headers],Table3[[#This Row],[End Use]]))</f>
        <v>0</v>
      </c>
    </row>
    <row r="28" spans="2:20" s="164" customFormat="1" ht="52" customHeight="1" x14ac:dyDescent="0.35">
      <c r="B28" s="165"/>
      <c r="C28" s="216">
        <v>16</v>
      </c>
      <c r="D28" s="217"/>
      <c r="E28" s="242"/>
      <c r="F28" s="219"/>
      <c r="G28" s="261"/>
      <c r="H28"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8" s="220"/>
      <c r="J28" s="221"/>
      <c r="K28" s="221"/>
      <c r="L28" s="222"/>
      <c r="M28" s="223" t="e">
        <f t="shared" si="0"/>
        <v>#N/A</v>
      </c>
      <c r="N28" s="227" t="str">
        <f>+IF(Table3[[#This Row],[Fuel Savings Estimate
(GJ/y)]]="","",Table3[[#This Row],[Fuel Savings Estimate
(GJ/y)]]*(IF('Basic Info'!$G$41="",'Basic Info'!$G$40/'Basic Info'!$G$38,'Basic Info'!$G$41)))</f>
        <v/>
      </c>
      <c r="O28" s="224" t="e">
        <f>SUM(Table3[[#This Row],[Annual Electricity Cost Savings
($/y) ]:[Annual Fuel Cost Savings ($/y)]])</f>
        <v>#N/A</v>
      </c>
      <c r="P28" s="225">
        <f>(IF('Basic Info'!$G$37=Variables!$S$2,Variables!$T$2,IF('Basic Info'!$G$37=Variables!$S$3,Variables!$T$3,IF('Basic Info'!$G$37=Variables!$S$4,Variables!$T$4,IF('Basic Info'!$G$37=Variables!$S$5,Variables!$T$5))))*Table3[[#This Row],[Fuel Savings Estimate
(GJ/y)]])+(Table3[[#This Row],[Electricity Savings Estimate
(kWh/y)]]*Variables!$T$10)</f>
        <v>0</v>
      </c>
      <c r="Q28" s="219"/>
      <c r="R28" s="218"/>
      <c r="S28" s="226"/>
      <c r="T28" s="280">
        <f>SIGN(COUNTIF(Prescriptive[#Headers],Table3[[#This Row],[End Use]]))</f>
        <v>0</v>
      </c>
    </row>
    <row r="29" spans="2:20" s="164" customFormat="1" ht="52" customHeight="1" x14ac:dyDescent="0.35">
      <c r="B29" s="165"/>
      <c r="C29" s="216">
        <v>17</v>
      </c>
      <c r="D29" s="217"/>
      <c r="E29" s="242"/>
      <c r="F29" s="219"/>
      <c r="G29" s="261"/>
      <c r="H29"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29" s="220"/>
      <c r="J29" s="221"/>
      <c r="K29" s="221"/>
      <c r="L29" s="222"/>
      <c r="M29" s="223" t="e">
        <f t="shared" si="0"/>
        <v>#N/A</v>
      </c>
      <c r="N29" s="227" t="str">
        <f>+IF(Table3[[#This Row],[Fuel Savings Estimate
(GJ/y)]]="","",Table3[[#This Row],[Fuel Savings Estimate
(GJ/y)]]*(IF('Basic Info'!$G$41="",'Basic Info'!$G$40/'Basic Info'!$G$38,'Basic Info'!$G$41)))</f>
        <v/>
      </c>
      <c r="O29" s="224" t="e">
        <f>SUM(Table3[[#This Row],[Annual Electricity Cost Savings
($/y) ]:[Annual Fuel Cost Savings ($/y)]])</f>
        <v>#N/A</v>
      </c>
      <c r="P29" s="225">
        <f>(IF('Basic Info'!$G$37=Variables!$S$2,Variables!$T$2,IF('Basic Info'!$G$37=Variables!$S$3,Variables!$T$3,IF('Basic Info'!$G$37=Variables!$S$4,Variables!$T$4,IF('Basic Info'!$G$37=Variables!$S$5,Variables!$T$5))))*Table3[[#This Row],[Fuel Savings Estimate
(GJ/y)]])+(Table3[[#This Row],[Electricity Savings Estimate
(kWh/y)]]*Variables!$T$10)</f>
        <v>0</v>
      </c>
      <c r="Q29" s="219"/>
      <c r="R29" s="218"/>
      <c r="S29" s="226"/>
      <c r="T29" s="280">
        <f>SIGN(COUNTIF(Prescriptive[#Headers],Table3[[#This Row],[End Use]]))</f>
        <v>0</v>
      </c>
    </row>
    <row r="30" spans="2:20" s="164" customFormat="1" ht="52" customHeight="1" x14ac:dyDescent="0.35">
      <c r="B30" s="165"/>
      <c r="C30" s="216">
        <v>18</v>
      </c>
      <c r="D30" s="217"/>
      <c r="E30" s="242"/>
      <c r="F30" s="219"/>
      <c r="G30" s="261"/>
      <c r="H30"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30" s="220"/>
      <c r="J30" s="221"/>
      <c r="K30" s="221"/>
      <c r="L30" s="222"/>
      <c r="M30" s="223" t="e">
        <f t="shared" si="0"/>
        <v>#N/A</v>
      </c>
      <c r="N30" s="227" t="str">
        <f>+IF(Table3[[#This Row],[Fuel Savings Estimate
(GJ/y)]]="","",Table3[[#This Row],[Fuel Savings Estimate
(GJ/y)]]*(IF('Basic Info'!$G$41="",'Basic Info'!$G$40/'Basic Info'!$G$38,'Basic Info'!$G$41)))</f>
        <v/>
      </c>
      <c r="O30" s="224" t="e">
        <f>SUM(Table3[[#This Row],[Annual Electricity Cost Savings
($/y) ]:[Annual Fuel Cost Savings ($/y)]])</f>
        <v>#N/A</v>
      </c>
      <c r="P30" s="225">
        <f>(IF('Basic Info'!$G$37=Variables!$S$2,Variables!$T$2,IF('Basic Info'!$G$37=Variables!$S$3,Variables!$T$3,IF('Basic Info'!$G$37=Variables!$S$4,Variables!$T$4,IF('Basic Info'!$G$37=Variables!$S$5,Variables!$T$5))))*Table3[[#This Row],[Fuel Savings Estimate
(GJ/y)]])+(Table3[[#This Row],[Electricity Savings Estimate
(kWh/y)]]*Variables!$T$10)</f>
        <v>0</v>
      </c>
      <c r="Q30" s="219"/>
      <c r="R30" s="218"/>
      <c r="S30" s="226"/>
      <c r="T30" s="280">
        <f>SIGN(COUNTIF(Prescriptive[#Headers],Table3[[#This Row],[End Use]]))</f>
        <v>0</v>
      </c>
    </row>
    <row r="31" spans="2:20" s="164" customFormat="1" ht="52" customHeight="1" x14ac:dyDescent="0.35">
      <c r="B31" s="165"/>
      <c r="C31" s="216">
        <v>19</v>
      </c>
      <c r="D31" s="217"/>
      <c r="E31" s="242"/>
      <c r="F31" s="219"/>
      <c r="G31" s="261"/>
      <c r="H31"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31" s="220"/>
      <c r="J31" s="221"/>
      <c r="K31" s="221"/>
      <c r="L31" s="222"/>
      <c r="M31" s="223" t="e">
        <f t="shared" si="0"/>
        <v>#N/A</v>
      </c>
      <c r="N31" s="227" t="str">
        <f>+IF(Table3[[#This Row],[Fuel Savings Estimate
(GJ/y)]]="","",Table3[[#This Row],[Fuel Savings Estimate
(GJ/y)]]*(IF('Basic Info'!$G$41="",'Basic Info'!$G$40/'Basic Info'!$G$38,'Basic Info'!$G$41)))</f>
        <v/>
      </c>
      <c r="O31" s="224" t="e">
        <f>SUM(Table3[[#This Row],[Annual Electricity Cost Savings
($/y) ]:[Annual Fuel Cost Savings ($/y)]])</f>
        <v>#N/A</v>
      </c>
      <c r="P31" s="225">
        <f>(IF('Basic Info'!$G$37=Variables!$S$2,Variables!$T$2,IF('Basic Info'!$G$37=Variables!$S$3,Variables!$T$3,IF('Basic Info'!$G$37=Variables!$S$4,Variables!$T$4,IF('Basic Info'!$G$37=Variables!$S$5,Variables!$T$5))))*Table3[[#This Row],[Fuel Savings Estimate
(GJ/y)]])+(Table3[[#This Row],[Electricity Savings Estimate
(kWh/y)]]*Variables!$T$10)</f>
        <v>0</v>
      </c>
      <c r="Q31" s="219"/>
      <c r="R31" s="218"/>
      <c r="S31" s="226"/>
      <c r="T31" s="280">
        <f>SIGN(COUNTIF(Prescriptive[#Headers],Table3[[#This Row],[End Use]]))</f>
        <v>0</v>
      </c>
    </row>
    <row r="32" spans="2:20" s="164" customFormat="1" ht="52" customHeight="1" x14ac:dyDescent="0.35">
      <c r="B32" s="165"/>
      <c r="C32" s="228">
        <v>20</v>
      </c>
      <c r="D32" s="229"/>
      <c r="E32" s="242"/>
      <c r="F32" s="231"/>
      <c r="G32" s="262"/>
      <c r="H32" s="244" t="str">
        <f>IF(ISBLANK(Table3[[#This Row],[End Use]]),"",IF((Table3[[#This Row],[Initiative Type ]]="Solar and Battery"),"Solar and Battery",IF(Table3[[#This Row],[End Use]]="LCE - Transportation (EV Charging)","EV Charging",IF(Table3[[#This Row],[Prescriptive]],IF(Table3[[#This Row],[Energy Measure]]="Others","Custom Project","Rebate"),"Custom Project"))))</f>
        <v/>
      </c>
      <c r="I32" s="232"/>
      <c r="J32" s="233"/>
      <c r="K32" s="233"/>
      <c r="L32" s="234"/>
      <c r="M32" s="235" t="e">
        <f t="shared" si="0"/>
        <v>#N/A</v>
      </c>
      <c r="N32" s="236" t="str">
        <f>+IF(Table3[[#This Row],[Fuel Savings Estimate
(GJ/y)]]="","",Table3[[#This Row],[Fuel Savings Estimate
(GJ/y)]]*(IF('Basic Info'!$G$41="",'Basic Info'!$G$40/'Basic Info'!$G$38,'Basic Info'!$G$41)))</f>
        <v/>
      </c>
      <c r="O32" s="237" t="e">
        <f>SUM(Table3[[#This Row],[Annual Electricity Cost Savings
($/y) ]:[Annual Fuel Cost Savings ($/y)]])</f>
        <v>#N/A</v>
      </c>
      <c r="P32" s="238">
        <f>(IF('Basic Info'!$G$37=Variables!$S$2,Variables!$T$2,IF('Basic Info'!$G$37=Variables!$S$3,Variables!$T$3,IF('Basic Info'!$G$37=Variables!$S$4,Variables!$T$4,IF('Basic Info'!$G$37=Variables!$S$5,Variables!$T$5))))*Table3[[#This Row],[Fuel Savings Estimate
(GJ/y)]])+(Table3[[#This Row],[Electricity Savings Estimate
(kWh/y)]]*Variables!$T$10)</f>
        <v>0</v>
      </c>
      <c r="Q32" s="231"/>
      <c r="R32" s="230"/>
      <c r="S32" s="239"/>
      <c r="T32" s="280">
        <f>SIGN(COUNTIF(Prescriptive[#Headers],Table3[[#This Row],[End Use]]))</f>
        <v>0</v>
      </c>
    </row>
    <row r="33" spans="2:19" s="162" customFormat="1" hidden="1" x14ac:dyDescent="0.3">
      <c r="B33" s="166"/>
      <c r="C33" s="167"/>
      <c r="I33" s="168"/>
      <c r="J33" s="169"/>
      <c r="K33" s="169"/>
      <c r="L33" s="169"/>
      <c r="M33" s="166"/>
      <c r="N33" s="166"/>
      <c r="O33" s="166"/>
      <c r="P33" s="166"/>
      <c r="R33" s="170"/>
      <c r="S33" s="166"/>
    </row>
    <row r="45" spans="2:19" ht="14.5" hidden="1" thickBot="1" x14ac:dyDescent="0.35"/>
    <row r="46" spans="2:19" ht="14.5" hidden="1" thickBot="1" x14ac:dyDescent="0.35">
      <c r="H46" s="146"/>
    </row>
  </sheetData>
  <sheetProtection algorithmName="SHA-512" hashValue="Thj9IOqVQEAkDPkyzhoxpuN/RrjPPLx8BCzvBkRhcNJMlltuCWMoQ8tXgLGlGoB5D+H5DtMXfQQY5OSFM6dSXg==" saltValue="KvSlwXBKnqHE7cw6/XKl+A==" spinCount="100000" sheet="1" formatRows="0" insertRows="0" deleteRows="0" selectLockedCells="1" sort="0" autoFilter="0"/>
  <mergeCells count="4">
    <mergeCell ref="L2:M2"/>
    <mergeCell ref="L3:M3"/>
    <mergeCell ref="L4:M4"/>
    <mergeCell ref="C11:S11"/>
  </mergeCells>
  <conditionalFormatting sqref="G13:G32">
    <cfRule type="expression" dxfId="71" priority="1">
      <formula>$T13&lt;&gt;1</formula>
    </cfRule>
  </conditionalFormatting>
  <dataValidations count="5">
    <dataValidation type="list" allowBlank="1" showInputMessage="1" showErrorMessage="1" sqref="M1:P1 R1:S1" xr:uid="{AAC40966-6DF7-4557-917D-F1D0FB8E5A21}">
      <formula1>$I$2:$I$3</formula1>
    </dataValidation>
    <dataValidation type="list" allowBlank="1" showInputMessage="1" showErrorMessage="1" sqref="L1" xr:uid="{F9F3C195-AE79-4475-A967-F7B7F3884E22}">
      <formula1>#REF!</formula1>
    </dataValidation>
    <dataValidation type="list" allowBlank="1" showInputMessage="1" showErrorMessage="1" sqref="G13:G32" xr:uid="{01768A8F-CDC8-4C40-8856-F83B0917EE82}">
      <formula1>NLSource</formula1>
    </dataValidation>
    <dataValidation type="list" allowBlank="1" showInputMessage="1" showErrorMessage="1" sqref="Q13:Q32" xr:uid="{D0C6DA9D-6FC1-4EC9-9E39-895EFDD62C0F}">
      <formula1>"High,Medium,Low"</formula1>
    </dataValidation>
    <dataValidation type="list" allowBlank="1" showInputMessage="1" showErrorMessage="1" sqref="R13:R32" xr:uid="{09306A48-7A20-4D49-B8AA-E2A9A70B7C34}">
      <formula1>NextStepsSource</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D227FE0F-7DA1-4E63-A565-EB285CE99FDB}">
          <x14:formula1>
            <xm:f>Variables!$H$2:$H$4</xm:f>
          </x14:formula1>
          <xm:sqref>D13:D32</xm:sqref>
        </x14:dataValidation>
        <x14:dataValidation type="list" allowBlank="1" showInputMessage="1" showErrorMessage="1" xr:uid="{8A60CDCF-F2CE-42C6-9BD3-149EF9A39FE7}">
          <x14:formula1>
            <xm:f>IF(D13=$H$7,ENDUSE_EE,IF(D13=$H$8,ENDUSE_LCE,IF(D13=$H$9,ENDUSE_DG,'End Uses XRM'!$S$3)))</xm:f>
          </x14:formula1>
          <xm:sqref>E13:E32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669D-45A8-4F03-87D7-DB47B3BF1B6C}">
  <sheetPr codeName="Sheet8">
    <tabColor theme="0" tint="-0.499984740745262"/>
  </sheetPr>
  <dimension ref="A1:S160"/>
  <sheetViews>
    <sheetView topLeftCell="D1" zoomScale="70" zoomScaleNormal="70" workbookViewId="0">
      <selection activeCell="P11" sqref="P11:P12"/>
    </sheetView>
  </sheetViews>
  <sheetFormatPr defaultRowHeight="14.5" x14ac:dyDescent="0.35"/>
  <cols>
    <col min="1" max="1" width="8.7265625" style="98" customWidth="1"/>
    <col min="2" max="2" width="27.54296875" style="99" bestFit="1" customWidth="1"/>
    <col min="3" max="4" width="58.7265625" style="100" customWidth="1"/>
    <col min="5" max="5" width="24.1796875" style="101" customWidth="1"/>
    <col min="6" max="6" width="39.54296875" style="98" customWidth="1"/>
    <col min="7" max="7" width="14" style="98" customWidth="1"/>
    <col min="8" max="8" width="13.7265625" style="98" customWidth="1"/>
    <col min="13" max="14" width="35.7265625" bestFit="1" customWidth="1"/>
    <col min="15" max="15" width="55" bestFit="1" customWidth="1"/>
    <col min="16" max="16" width="15.54296875" customWidth="1"/>
    <col min="17" max="17" width="15.453125" customWidth="1"/>
  </cols>
  <sheetData>
    <row r="1" spans="1:19" x14ac:dyDescent="0.35">
      <c r="A1" s="96" t="s">
        <v>84</v>
      </c>
      <c r="B1" s="96" t="s">
        <v>85</v>
      </c>
      <c r="C1" s="97" t="s">
        <v>86</v>
      </c>
      <c r="D1" s="97" t="s">
        <v>411</v>
      </c>
      <c r="E1" s="96" t="s">
        <v>87</v>
      </c>
      <c r="F1" s="96" t="s">
        <v>77</v>
      </c>
      <c r="G1" s="96" t="s">
        <v>88</v>
      </c>
      <c r="H1" s="96" t="s">
        <v>89</v>
      </c>
    </row>
    <row r="2" spans="1:19" x14ac:dyDescent="0.35">
      <c r="A2" s="98" t="s">
        <v>90</v>
      </c>
      <c r="B2" s="99">
        <v>44642.748321759304</v>
      </c>
      <c r="C2" s="129" t="s">
        <v>326</v>
      </c>
      <c r="D2" s="134" t="s">
        <v>637</v>
      </c>
      <c r="E2" s="134">
        <v>25</v>
      </c>
      <c r="F2" s="129" t="s">
        <v>100</v>
      </c>
      <c r="G2" s="127" t="s">
        <v>93</v>
      </c>
      <c r="H2" s="98" t="s">
        <v>94</v>
      </c>
    </row>
    <row r="3" spans="1:19" ht="31" x14ac:dyDescent="0.35">
      <c r="A3" s="98" t="s">
        <v>96</v>
      </c>
      <c r="B3" s="99">
        <v>44642.7483333333</v>
      </c>
      <c r="C3" s="129" t="s">
        <v>353</v>
      </c>
      <c r="D3" s="134" t="s">
        <v>637</v>
      </c>
      <c r="E3" s="134">
        <v>25</v>
      </c>
      <c r="F3" s="129" t="s">
        <v>100</v>
      </c>
      <c r="G3" s="127" t="s">
        <v>93</v>
      </c>
      <c r="H3" s="98" t="s">
        <v>94</v>
      </c>
      <c r="M3" s="143" t="s">
        <v>637</v>
      </c>
      <c r="N3" s="143" t="s">
        <v>638</v>
      </c>
      <c r="O3" s="95" t="s">
        <v>722</v>
      </c>
      <c r="P3" s="95" t="s">
        <v>73</v>
      </c>
      <c r="Q3" s="95" t="s">
        <v>74</v>
      </c>
      <c r="S3" s="272"/>
    </row>
    <row r="4" spans="1:19" ht="25" x14ac:dyDescent="0.35">
      <c r="A4" s="98" t="s">
        <v>97</v>
      </c>
      <c r="B4" s="99">
        <v>44642.754733796297</v>
      </c>
      <c r="C4" s="129" t="s">
        <v>366</v>
      </c>
      <c r="D4" s="134" t="s">
        <v>637</v>
      </c>
      <c r="E4" s="134">
        <v>25</v>
      </c>
      <c r="F4" s="129" t="s">
        <v>100</v>
      </c>
      <c r="G4" s="127" t="s">
        <v>93</v>
      </c>
      <c r="H4" s="98" t="s">
        <v>94</v>
      </c>
      <c r="M4" s="71" t="s">
        <v>100</v>
      </c>
      <c r="N4" s="71" t="s">
        <v>616</v>
      </c>
      <c r="O4" s="71" t="s">
        <v>716</v>
      </c>
      <c r="P4" s="132" t="s">
        <v>635</v>
      </c>
      <c r="Q4" s="71" t="s">
        <v>74</v>
      </c>
    </row>
    <row r="5" spans="1:19" x14ac:dyDescent="0.35">
      <c r="A5" s="98" t="s">
        <v>101</v>
      </c>
      <c r="B5" s="99">
        <v>44642.754733796297</v>
      </c>
      <c r="C5" s="129" t="s">
        <v>377</v>
      </c>
      <c r="D5" s="134" t="s">
        <v>637</v>
      </c>
      <c r="E5" s="134">
        <v>25</v>
      </c>
      <c r="F5" s="129" t="s">
        <v>100</v>
      </c>
      <c r="G5" s="127" t="s">
        <v>93</v>
      </c>
      <c r="H5" s="98" t="s">
        <v>94</v>
      </c>
      <c r="M5" t="s">
        <v>92</v>
      </c>
      <c r="N5" s="71" t="s">
        <v>106</v>
      </c>
      <c r="O5" s="71" t="s">
        <v>635</v>
      </c>
      <c r="P5" t="s">
        <v>74</v>
      </c>
    </row>
    <row r="6" spans="1:19" x14ac:dyDescent="0.35">
      <c r="A6" s="98" t="s">
        <v>103</v>
      </c>
      <c r="B6" s="99">
        <v>44642.7483333333</v>
      </c>
      <c r="C6" s="129" t="s">
        <v>378</v>
      </c>
      <c r="D6" s="134" t="s">
        <v>637</v>
      </c>
      <c r="E6" s="134">
        <v>15</v>
      </c>
      <c r="F6" s="129" t="s">
        <v>100</v>
      </c>
      <c r="G6" s="127" t="s">
        <v>93</v>
      </c>
      <c r="H6" s="98" t="s">
        <v>94</v>
      </c>
      <c r="M6" t="s">
        <v>739</v>
      </c>
      <c r="N6" s="71" t="s">
        <v>717</v>
      </c>
      <c r="O6" s="71" t="s">
        <v>74</v>
      </c>
    </row>
    <row r="7" spans="1:19" x14ac:dyDescent="0.35">
      <c r="A7" s="98" t="s">
        <v>108</v>
      </c>
      <c r="B7" s="99">
        <v>44642.7483333333</v>
      </c>
      <c r="C7" s="129" t="s">
        <v>384</v>
      </c>
      <c r="D7" s="134" t="s">
        <v>637</v>
      </c>
      <c r="E7" s="134">
        <v>30</v>
      </c>
      <c r="F7" s="129" t="s">
        <v>100</v>
      </c>
      <c r="G7" s="127" t="s">
        <v>93</v>
      </c>
      <c r="H7" s="98" t="s">
        <v>94</v>
      </c>
      <c r="M7" s="71" t="s">
        <v>105</v>
      </c>
      <c r="N7" s="71" t="s">
        <v>620</v>
      </c>
      <c r="O7" s="71"/>
    </row>
    <row r="8" spans="1:19" ht="15.5" x14ac:dyDescent="0.35">
      <c r="A8" s="98" t="s">
        <v>111</v>
      </c>
      <c r="B8" s="99">
        <v>44642.7483333333</v>
      </c>
      <c r="C8" s="129" t="s">
        <v>202</v>
      </c>
      <c r="D8" s="134" t="s">
        <v>637</v>
      </c>
      <c r="E8" s="134">
        <v>10</v>
      </c>
      <c r="F8" s="129" t="s">
        <v>102</v>
      </c>
      <c r="G8" s="128" t="s">
        <v>93</v>
      </c>
      <c r="H8" s="98" t="s">
        <v>94</v>
      </c>
      <c r="M8" s="71" t="s">
        <v>617</v>
      </c>
      <c r="N8" t="s">
        <v>74</v>
      </c>
      <c r="O8" s="71"/>
    </row>
    <row r="9" spans="1:19" ht="15.5" x14ac:dyDescent="0.35">
      <c r="A9" s="98" t="s">
        <v>113</v>
      </c>
      <c r="B9" s="99">
        <v>44642.7483333333</v>
      </c>
      <c r="C9" s="129" t="s">
        <v>232</v>
      </c>
      <c r="D9" s="134" t="s">
        <v>637</v>
      </c>
      <c r="E9" s="134">
        <v>10</v>
      </c>
      <c r="F9" s="129" t="s">
        <v>102</v>
      </c>
      <c r="G9" s="128" t="s">
        <v>93</v>
      </c>
      <c r="H9" s="98" t="s">
        <v>94</v>
      </c>
      <c r="M9" s="71" t="s">
        <v>98</v>
      </c>
      <c r="O9" s="71"/>
    </row>
    <row r="10" spans="1:19" ht="15.5" x14ac:dyDescent="0.35">
      <c r="A10" s="98" t="s">
        <v>114</v>
      </c>
      <c r="B10" s="99">
        <v>44642.754733796297</v>
      </c>
      <c r="C10" s="129" t="s">
        <v>234</v>
      </c>
      <c r="D10" s="134" t="s">
        <v>637</v>
      </c>
      <c r="E10" s="134">
        <v>10</v>
      </c>
      <c r="F10" s="129" t="s">
        <v>102</v>
      </c>
      <c r="G10" s="128" t="s">
        <v>93</v>
      </c>
      <c r="H10" s="98" t="s">
        <v>94</v>
      </c>
      <c r="M10" s="71" t="s">
        <v>161</v>
      </c>
      <c r="N10" s="71"/>
      <c r="O10" s="71"/>
    </row>
    <row r="11" spans="1:19" ht="15.5" x14ac:dyDescent="0.35">
      <c r="A11" s="98" t="s">
        <v>115</v>
      </c>
      <c r="B11" s="99">
        <v>44642.754733796297</v>
      </c>
      <c r="C11" s="129" t="s">
        <v>246</v>
      </c>
      <c r="D11" s="134" t="s">
        <v>637</v>
      </c>
      <c r="E11" s="134">
        <v>15</v>
      </c>
      <c r="F11" s="129" t="s">
        <v>102</v>
      </c>
      <c r="G11" s="128" t="s">
        <v>93</v>
      </c>
      <c r="H11" s="98" t="s">
        <v>94</v>
      </c>
      <c r="M11" s="71" t="s">
        <v>125</v>
      </c>
      <c r="O11" s="71"/>
    </row>
    <row r="12" spans="1:19" ht="15.5" x14ac:dyDescent="0.35">
      <c r="A12" s="98" t="s">
        <v>117</v>
      </c>
      <c r="B12" s="99">
        <v>44642.7483333333</v>
      </c>
      <c r="C12" s="129" t="s">
        <v>622</v>
      </c>
      <c r="D12" s="134" t="s">
        <v>637</v>
      </c>
      <c r="E12" s="134">
        <v>5</v>
      </c>
      <c r="F12" s="129" t="s">
        <v>102</v>
      </c>
      <c r="G12" s="128" t="s">
        <v>93</v>
      </c>
      <c r="H12" s="98" t="s">
        <v>94</v>
      </c>
      <c r="M12" s="71" t="s">
        <v>104</v>
      </c>
      <c r="O12" s="71"/>
    </row>
    <row r="13" spans="1:19" ht="56" x14ac:dyDescent="0.35">
      <c r="A13" s="98" t="s">
        <v>118</v>
      </c>
      <c r="B13" s="99">
        <v>44642.7483333333</v>
      </c>
      <c r="C13" s="140" t="s">
        <v>623</v>
      </c>
      <c r="D13" s="134" t="s">
        <v>637</v>
      </c>
      <c r="E13" s="134">
        <v>2</v>
      </c>
      <c r="F13" s="129" t="s">
        <v>102</v>
      </c>
      <c r="G13" s="128" t="s">
        <v>93</v>
      </c>
      <c r="H13" s="98" t="s">
        <v>94</v>
      </c>
      <c r="M13" s="71" t="s">
        <v>74</v>
      </c>
      <c r="O13" s="71"/>
    </row>
    <row r="14" spans="1:19" ht="25" x14ac:dyDescent="0.35">
      <c r="A14" s="98" t="s">
        <v>119</v>
      </c>
      <c r="B14" s="99">
        <v>44642.7483333333</v>
      </c>
      <c r="C14" s="140" t="s">
        <v>351</v>
      </c>
      <c r="D14" s="134" t="s">
        <v>637</v>
      </c>
      <c r="E14" s="134">
        <v>5</v>
      </c>
      <c r="F14" s="129" t="s">
        <v>102</v>
      </c>
      <c r="G14" s="128" t="s">
        <v>93</v>
      </c>
      <c r="H14" s="98" t="s">
        <v>94</v>
      </c>
    </row>
    <row r="15" spans="1:19" ht="25" x14ac:dyDescent="0.35">
      <c r="A15" s="98" t="s">
        <v>121</v>
      </c>
      <c r="B15" s="99">
        <v>44642.7483333333</v>
      </c>
      <c r="C15" s="140" t="s">
        <v>355</v>
      </c>
      <c r="D15" s="134" t="s">
        <v>637</v>
      </c>
      <c r="E15" s="134">
        <v>8</v>
      </c>
      <c r="F15" s="129" t="s">
        <v>102</v>
      </c>
      <c r="G15" s="128" t="s">
        <v>93</v>
      </c>
      <c r="H15" s="98" t="s">
        <v>94</v>
      </c>
      <c r="M15" s="71"/>
    </row>
    <row r="16" spans="1:19" ht="15.5" x14ac:dyDescent="0.35">
      <c r="A16" s="98" t="s">
        <v>123</v>
      </c>
      <c r="B16" s="99">
        <v>44642.754733796297</v>
      </c>
      <c r="C16" s="129" t="s">
        <v>361</v>
      </c>
      <c r="D16" s="134" t="s">
        <v>637</v>
      </c>
      <c r="E16" s="134">
        <v>10</v>
      </c>
      <c r="F16" s="129" t="s">
        <v>102</v>
      </c>
      <c r="G16" s="128" t="s">
        <v>93</v>
      </c>
      <c r="H16" s="98" t="s">
        <v>94</v>
      </c>
      <c r="M16" s="71"/>
    </row>
    <row r="17" spans="1:13" ht="15.5" x14ac:dyDescent="0.35">
      <c r="A17" s="98" t="s">
        <v>126</v>
      </c>
      <c r="B17" s="99">
        <v>44642.7483333333</v>
      </c>
      <c r="C17" s="129" t="s">
        <v>381</v>
      </c>
      <c r="D17" s="134" t="s">
        <v>637</v>
      </c>
      <c r="E17" s="134">
        <v>15</v>
      </c>
      <c r="F17" s="129" t="s">
        <v>102</v>
      </c>
      <c r="G17" s="128" t="s">
        <v>93</v>
      </c>
      <c r="H17" s="98" t="s">
        <v>94</v>
      </c>
      <c r="M17" s="71"/>
    </row>
    <row r="18" spans="1:13" ht="15.5" x14ac:dyDescent="0.35">
      <c r="A18" s="98" t="s">
        <v>128</v>
      </c>
      <c r="B18" s="99">
        <v>44642.754733796297</v>
      </c>
      <c r="C18" s="129" t="s">
        <v>385</v>
      </c>
      <c r="D18" s="134" t="s">
        <v>637</v>
      </c>
      <c r="E18" s="134">
        <v>10</v>
      </c>
      <c r="F18" s="129" t="s">
        <v>102</v>
      </c>
      <c r="G18" s="128" t="s">
        <v>93</v>
      </c>
      <c r="H18" s="98" t="s">
        <v>94</v>
      </c>
    </row>
    <row r="19" spans="1:13" x14ac:dyDescent="0.35">
      <c r="A19" s="98" t="s">
        <v>129</v>
      </c>
      <c r="B19" s="99">
        <v>44642.754733796297</v>
      </c>
      <c r="C19" s="129" t="s">
        <v>91</v>
      </c>
      <c r="D19" s="134" t="s">
        <v>637</v>
      </c>
      <c r="E19" s="134">
        <v>10</v>
      </c>
      <c r="F19" s="129" t="s">
        <v>92</v>
      </c>
      <c r="G19" s="127" t="s">
        <v>93</v>
      </c>
      <c r="H19" s="98" t="s">
        <v>94</v>
      </c>
    </row>
    <row r="20" spans="1:13" x14ac:dyDescent="0.35">
      <c r="A20" s="98" t="s">
        <v>130</v>
      </c>
      <c r="B20" s="99">
        <v>44642.7483333333</v>
      </c>
      <c r="C20" s="129" t="s">
        <v>120</v>
      </c>
      <c r="D20" s="134" t="s">
        <v>637</v>
      </c>
      <c r="E20" s="134">
        <v>2</v>
      </c>
      <c r="F20" s="129" t="s">
        <v>92</v>
      </c>
      <c r="G20" s="127" t="s">
        <v>93</v>
      </c>
      <c r="H20" s="98" t="s">
        <v>94</v>
      </c>
    </row>
    <row r="21" spans="1:13" x14ac:dyDescent="0.35">
      <c r="A21" s="98" t="s">
        <v>132</v>
      </c>
      <c r="B21" s="99">
        <v>44642.7483333333</v>
      </c>
      <c r="C21" s="129" t="s">
        <v>153</v>
      </c>
      <c r="D21" s="134" t="s">
        <v>637</v>
      </c>
      <c r="E21" s="134">
        <v>10</v>
      </c>
      <c r="F21" s="129" t="s">
        <v>92</v>
      </c>
      <c r="G21" s="127" t="s">
        <v>93</v>
      </c>
      <c r="H21" s="98" t="s">
        <v>94</v>
      </c>
    </row>
    <row r="22" spans="1:13" x14ac:dyDescent="0.35">
      <c r="A22" s="98" t="s">
        <v>134</v>
      </c>
      <c r="B22" s="99">
        <v>44642.7483333333</v>
      </c>
      <c r="C22" s="129" t="s">
        <v>285</v>
      </c>
      <c r="D22" s="134" t="s">
        <v>637</v>
      </c>
      <c r="E22" s="134">
        <v>12</v>
      </c>
      <c r="F22" s="129" t="s">
        <v>92</v>
      </c>
      <c r="G22" s="127" t="s">
        <v>93</v>
      </c>
      <c r="H22" s="98" t="s">
        <v>94</v>
      </c>
    </row>
    <row r="23" spans="1:13" x14ac:dyDescent="0.35">
      <c r="A23" s="98" t="s">
        <v>136</v>
      </c>
      <c r="B23" s="99">
        <v>44642.7483333333</v>
      </c>
      <c r="C23" s="129" t="s">
        <v>288</v>
      </c>
      <c r="D23" s="134" t="s">
        <v>637</v>
      </c>
      <c r="E23" s="134">
        <v>8</v>
      </c>
      <c r="F23" s="129" t="s">
        <v>92</v>
      </c>
      <c r="G23" s="127" t="s">
        <v>93</v>
      </c>
      <c r="H23" s="98" t="s">
        <v>94</v>
      </c>
    </row>
    <row r="24" spans="1:13" x14ac:dyDescent="0.35">
      <c r="A24" s="98" t="s">
        <v>138</v>
      </c>
      <c r="B24" s="99">
        <v>44642.7483333333</v>
      </c>
      <c r="C24" s="129" t="s">
        <v>291</v>
      </c>
      <c r="D24" s="134" t="s">
        <v>637</v>
      </c>
      <c r="E24" s="134">
        <v>16</v>
      </c>
      <c r="F24" s="129" t="s">
        <v>92</v>
      </c>
      <c r="G24" s="127" t="s">
        <v>93</v>
      </c>
      <c r="H24" s="98" t="s">
        <v>94</v>
      </c>
    </row>
    <row r="25" spans="1:13" x14ac:dyDescent="0.35">
      <c r="A25" s="98" t="s">
        <v>140</v>
      </c>
      <c r="B25" s="99">
        <v>44701.490266203698</v>
      </c>
      <c r="C25" s="129" t="s">
        <v>335</v>
      </c>
      <c r="D25" s="134" t="s">
        <v>637</v>
      </c>
      <c r="E25" s="134">
        <v>8</v>
      </c>
      <c r="F25" s="129" t="s">
        <v>92</v>
      </c>
      <c r="G25" s="127" t="s">
        <v>93</v>
      </c>
      <c r="H25" s="98" t="s">
        <v>94</v>
      </c>
    </row>
    <row r="26" spans="1:13" x14ac:dyDescent="0.35">
      <c r="A26" s="98" t="s">
        <v>141</v>
      </c>
      <c r="B26" s="99">
        <v>44642.7483333333</v>
      </c>
      <c r="C26" s="129" t="s">
        <v>336</v>
      </c>
      <c r="D26" s="134" t="s">
        <v>637</v>
      </c>
      <c r="E26" s="134">
        <v>16</v>
      </c>
      <c r="F26" s="129" t="s">
        <v>92</v>
      </c>
      <c r="G26" s="127" t="s">
        <v>93</v>
      </c>
      <c r="H26" s="98" t="s">
        <v>94</v>
      </c>
    </row>
    <row r="27" spans="1:13" x14ac:dyDescent="0.35">
      <c r="A27" s="98" t="s">
        <v>143</v>
      </c>
      <c r="B27" s="99">
        <v>44642.748344907399</v>
      </c>
      <c r="C27" s="129" t="s">
        <v>337</v>
      </c>
      <c r="D27" s="134" t="s">
        <v>637</v>
      </c>
      <c r="E27" s="134">
        <v>15</v>
      </c>
      <c r="F27" s="129" t="s">
        <v>92</v>
      </c>
      <c r="G27" s="127" t="s">
        <v>93</v>
      </c>
      <c r="H27" s="98" t="s">
        <v>94</v>
      </c>
    </row>
    <row r="28" spans="1:13" x14ac:dyDescent="0.35">
      <c r="A28" s="98" t="s">
        <v>145</v>
      </c>
      <c r="B28" s="99">
        <v>44642.748344907399</v>
      </c>
      <c r="C28" s="129" t="s">
        <v>338</v>
      </c>
      <c r="D28" s="134" t="s">
        <v>637</v>
      </c>
      <c r="E28" s="134">
        <v>12</v>
      </c>
      <c r="F28" s="129" t="s">
        <v>92</v>
      </c>
      <c r="G28" s="127" t="s">
        <v>93</v>
      </c>
      <c r="H28" s="98" t="s">
        <v>94</v>
      </c>
    </row>
    <row r="29" spans="1:13" x14ac:dyDescent="0.35">
      <c r="A29" s="98" t="s">
        <v>147</v>
      </c>
      <c r="B29" s="99">
        <v>45033.340706018498</v>
      </c>
      <c r="C29" s="129" t="s">
        <v>339</v>
      </c>
      <c r="D29" s="134" t="s">
        <v>637</v>
      </c>
      <c r="E29" s="134">
        <v>16</v>
      </c>
      <c r="F29" s="129" t="s">
        <v>92</v>
      </c>
      <c r="G29" s="127" t="s">
        <v>93</v>
      </c>
      <c r="H29" s="98" t="s">
        <v>94</v>
      </c>
    </row>
    <row r="30" spans="1:13" ht="25" x14ac:dyDescent="0.35">
      <c r="A30" s="98" t="s">
        <v>148</v>
      </c>
      <c r="B30" s="99">
        <v>44642.748344907399</v>
      </c>
      <c r="C30" s="129" t="s">
        <v>340</v>
      </c>
      <c r="D30" s="134" t="s">
        <v>637</v>
      </c>
      <c r="E30" s="134">
        <v>12</v>
      </c>
      <c r="F30" s="129" t="s">
        <v>92</v>
      </c>
      <c r="G30" s="127" t="s">
        <v>93</v>
      </c>
      <c r="H30" s="98" t="s">
        <v>94</v>
      </c>
    </row>
    <row r="31" spans="1:13" x14ac:dyDescent="0.35">
      <c r="A31" s="98" t="s">
        <v>150</v>
      </c>
      <c r="B31" s="99">
        <v>44642.748344907399</v>
      </c>
      <c r="C31" s="129" t="s">
        <v>342</v>
      </c>
      <c r="D31" s="134" t="s">
        <v>637</v>
      </c>
      <c r="E31" s="134">
        <v>16</v>
      </c>
      <c r="F31" s="129" t="s">
        <v>92</v>
      </c>
      <c r="G31" s="127" t="s">
        <v>93</v>
      </c>
      <c r="H31" s="98" t="s">
        <v>94</v>
      </c>
    </row>
    <row r="32" spans="1:13" x14ac:dyDescent="0.35">
      <c r="A32" s="98" t="s">
        <v>151</v>
      </c>
      <c r="B32" s="99">
        <v>45007.682256944398</v>
      </c>
      <c r="C32" s="129" t="s">
        <v>344</v>
      </c>
      <c r="D32" s="134" t="s">
        <v>637</v>
      </c>
      <c r="E32" s="134">
        <v>20</v>
      </c>
      <c r="F32" s="129" t="s">
        <v>92</v>
      </c>
      <c r="G32" s="127" t="s">
        <v>93</v>
      </c>
      <c r="H32" s="98" t="s">
        <v>94</v>
      </c>
    </row>
    <row r="33" spans="1:8" x14ac:dyDescent="0.35">
      <c r="A33" s="98" t="s">
        <v>152</v>
      </c>
      <c r="B33" s="99">
        <v>44714.568958333301</v>
      </c>
      <c r="C33" s="129" t="s">
        <v>345</v>
      </c>
      <c r="D33" s="134" t="s">
        <v>637</v>
      </c>
      <c r="E33" s="134">
        <v>15</v>
      </c>
      <c r="F33" s="129" t="s">
        <v>92</v>
      </c>
      <c r="G33" s="127" t="s">
        <v>93</v>
      </c>
      <c r="H33" s="98" t="s">
        <v>94</v>
      </c>
    </row>
    <row r="34" spans="1:8" ht="25" x14ac:dyDescent="0.35">
      <c r="A34" s="98" t="s">
        <v>154</v>
      </c>
      <c r="B34" s="99">
        <v>44642.748344907399</v>
      </c>
      <c r="C34" s="129" t="s">
        <v>346</v>
      </c>
      <c r="D34" s="134" t="s">
        <v>637</v>
      </c>
      <c r="E34" s="134">
        <v>8</v>
      </c>
      <c r="F34" s="129" t="s">
        <v>92</v>
      </c>
      <c r="G34" s="127" t="s">
        <v>93</v>
      </c>
      <c r="H34" s="98" t="s">
        <v>94</v>
      </c>
    </row>
    <row r="35" spans="1:8" x14ac:dyDescent="0.35">
      <c r="A35" s="98" t="s">
        <v>156</v>
      </c>
      <c r="B35" s="99">
        <v>44642.748344907399</v>
      </c>
      <c r="C35" s="129" t="s">
        <v>348</v>
      </c>
      <c r="D35" s="134" t="s">
        <v>637</v>
      </c>
      <c r="E35" s="134">
        <v>16</v>
      </c>
      <c r="F35" s="129" t="s">
        <v>92</v>
      </c>
      <c r="G35" s="127" t="s">
        <v>93</v>
      </c>
      <c r="H35" s="98" t="s">
        <v>94</v>
      </c>
    </row>
    <row r="36" spans="1:8" x14ac:dyDescent="0.35">
      <c r="A36" s="98" t="s">
        <v>157</v>
      </c>
      <c r="B36" s="99">
        <v>44642.748344907399</v>
      </c>
      <c r="C36" s="129" t="s">
        <v>374</v>
      </c>
      <c r="D36" s="134" t="s">
        <v>637</v>
      </c>
      <c r="E36" s="134">
        <v>4</v>
      </c>
      <c r="F36" s="129" t="s">
        <v>92</v>
      </c>
      <c r="G36" s="127" t="s">
        <v>93</v>
      </c>
      <c r="H36" s="98" t="s">
        <v>94</v>
      </c>
    </row>
    <row r="37" spans="1:8" x14ac:dyDescent="0.35">
      <c r="A37" s="98" t="s">
        <v>158</v>
      </c>
      <c r="B37" s="99">
        <v>44642.748356481497</v>
      </c>
      <c r="C37" s="129" t="s">
        <v>382</v>
      </c>
      <c r="D37" s="134" t="s">
        <v>637</v>
      </c>
      <c r="E37" s="134">
        <v>15</v>
      </c>
      <c r="F37" s="129" t="s">
        <v>92</v>
      </c>
      <c r="G37" s="127" t="s">
        <v>93</v>
      </c>
      <c r="H37" s="98" t="s">
        <v>94</v>
      </c>
    </row>
    <row r="38" spans="1:8" ht="15.5" x14ac:dyDescent="0.35">
      <c r="A38" s="98" t="s">
        <v>159</v>
      </c>
      <c r="B38" s="99">
        <v>44642.748356481497</v>
      </c>
      <c r="C38" s="129" t="s">
        <v>375</v>
      </c>
      <c r="D38" s="134" t="s">
        <v>637</v>
      </c>
      <c r="E38" s="134">
        <v>8</v>
      </c>
      <c r="F38" s="130" t="s">
        <v>615</v>
      </c>
      <c r="G38" s="127" t="s">
        <v>93</v>
      </c>
      <c r="H38" s="98" t="s">
        <v>94</v>
      </c>
    </row>
    <row r="39" spans="1:8" ht="37.5" x14ac:dyDescent="0.35">
      <c r="A39" s="98" t="s">
        <v>160</v>
      </c>
      <c r="B39" s="99">
        <v>44642.748356481497</v>
      </c>
      <c r="C39" s="140" t="s">
        <v>109</v>
      </c>
      <c r="D39" s="134" t="s">
        <v>637</v>
      </c>
      <c r="E39" s="134">
        <v>10</v>
      </c>
      <c r="F39" s="129" t="s">
        <v>105</v>
      </c>
      <c r="G39" s="127" t="s">
        <v>93</v>
      </c>
      <c r="H39" s="98" t="s">
        <v>94</v>
      </c>
    </row>
    <row r="40" spans="1:8" ht="50" x14ac:dyDescent="0.35">
      <c r="A40" s="98" t="s">
        <v>162</v>
      </c>
      <c r="B40" s="99">
        <v>44642.748356481497</v>
      </c>
      <c r="C40" s="140" t="s">
        <v>199</v>
      </c>
      <c r="D40" s="134" t="s">
        <v>637</v>
      </c>
      <c r="E40" s="134">
        <v>2</v>
      </c>
      <c r="F40" s="129" t="s">
        <v>105</v>
      </c>
      <c r="G40" s="127" t="s">
        <v>93</v>
      </c>
      <c r="H40" s="98" t="s">
        <v>94</v>
      </c>
    </row>
    <row r="41" spans="1:8" x14ac:dyDescent="0.35">
      <c r="A41" s="98" t="s">
        <v>163</v>
      </c>
      <c r="B41" s="99">
        <v>44642.748356481497</v>
      </c>
      <c r="C41" s="129" t="s">
        <v>221</v>
      </c>
      <c r="D41" s="134" t="s">
        <v>637</v>
      </c>
      <c r="E41" s="134">
        <v>15</v>
      </c>
      <c r="F41" s="129" t="s">
        <v>105</v>
      </c>
      <c r="G41" s="127" t="s">
        <v>93</v>
      </c>
      <c r="H41" s="98" t="s">
        <v>94</v>
      </c>
    </row>
    <row r="42" spans="1:8" x14ac:dyDescent="0.35">
      <c r="A42" s="98" t="s">
        <v>164</v>
      </c>
      <c r="B42" s="99">
        <v>44642.748356481497</v>
      </c>
      <c r="C42" s="129" t="s">
        <v>223</v>
      </c>
      <c r="D42" s="134" t="s">
        <v>637</v>
      </c>
      <c r="E42" s="134">
        <v>10</v>
      </c>
      <c r="F42" s="129" t="s">
        <v>105</v>
      </c>
      <c r="G42" s="127" t="s">
        <v>93</v>
      </c>
      <c r="H42" s="98" t="s">
        <v>94</v>
      </c>
    </row>
    <row r="43" spans="1:8" x14ac:dyDescent="0.35">
      <c r="A43" s="98" t="s">
        <v>165</v>
      </c>
      <c r="B43" s="99">
        <v>44642.754733796297</v>
      </c>
      <c r="C43" s="129" t="s">
        <v>226</v>
      </c>
      <c r="D43" s="134" t="s">
        <v>637</v>
      </c>
      <c r="E43" s="134">
        <v>10</v>
      </c>
      <c r="F43" s="129" t="s">
        <v>105</v>
      </c>
      <c r="G43" s="127" t="s">
        <v>93</v>
      </c>
      <c r="H43" s="98" t="s">
        <v>94</v>
      </c>
    </row>
    <row r="44" spans="1:8" x14ac:dyDescent="0.35">
      <c r="A44" s="98" t="s">
        <v>167</v>
      </c>
      <c r="B44" s="99">
        <v>44642.748356481497</v>
      </c>
      <c r="C44" s="129" t="s">
        <v>267</v>
      </c>
      <c r="D44" s="134" t="s">
        <v>637</v>
      </c>
      <c r="E44" s="134">
        <v>15</v>
      </c>
      <c r="F44" s="129" t="s">
        <v>105</v>
      </c>
      <c r="G44" s="127" t="s">
        <v>93</v>
      </c>
      <c r="H44" s="98" t="s">
        <v>94</v>
      </c>
    </row>
    <row r="45" spans="1:8" x14ac:dyDescent="0.35">
      <c r="A45" s="98" t="s">
        <v>168</v>
      </c>
      <c r="B45" s="99">
        <v>44642.748368055603</v>
      </c>
      <c r="C45" s="129" t="s">
        <v>320</v>
      </c>
      <c r="D45" s="134" t="s">
        <v>637</v>
      </c>
      <c r="E45" s="134">
        <v>15</v>
      </c>
      <c r="F45" s="129" t="s">
        <v>105</v>
      </c>
      <c r="G45" s="127" t="s">
        <v>93</v>
      </c>
      <c r="H45" s="98" t="s">
        <v>94</v>
      </c>
    </row>
    <row r="46" spans="1:8" x14ac:dyDescent="0.35">
      <c r="A46" s="98" t="s">
        <v>169</v>
      </c>
      <c r="B46" s="99">
        <v>44642.748368055603</v>
      </c>
      <c r="C46" s="129" t="s">
        <v>341</v>
      </c>
      <c r="D46" s="134" t="s">
        <v>637</v>
      </c>
      <c r="E46" s="134">
        <v>10</v>
      </c>
      <c r="F46" s="129" t="s">
        <v>105</v>
      </c>
      <c r="G46" s="127" t="s">
        <v>93</v>
      </c>
      <c r="H46" s="98" t="s">
        <v>94</v>
      </c>
    </row>
    <row r="47" spans="1:8" x14ac:dyDescent="0.35">
      <c r="A47" s="98" t="s">
        <v>170</v>
      </c>
      <c r="B47" s="99">
        <v>44642.748368055603</v>
      </c>
      <c r="C47" s="129" t="s">
        <v>387</v>
      </c>
      <c r="D47" s="134" t="s">
        <v>637</v>
      </c>
      <c r="E47" s="134">
        <v>15</v>
      </c>
      <c r="F47" s="129" t="s">
        <v>105</v>
      </c>
      <c r="G47" s="127" t="s">
        <v>93</v>
      </c>
      <c r="H47" s="98" t="s">
        <v>94</v>
      </c>
    </row>
    <row r="48" spans="1:8" x14ac:dyDescent="0.35">
      <c r="A48" s="98" t="s">
        <v>172</v>
      </c>
      <c r="B48" s="99">
        <v>44642.748368055603</v>
      </c>
      <c r="C48" s="129" t="s">
        <v>624</v>
      </c>
      <c r="D48" s="134" t="s">
        <v>637</v>
      </c>
      <c r="E48" s="134">
        <v>10</v>
      </c>
      <c r="F48" s="129" t="s">
        <v>105</v>
      </c>
      <c r="G48" s="127" t="s">
        <v>93</v>
      </c>
      <c r="H48" s="98" t="s">
        <v>94</v>
      </c>
    </row>
    <row r="49" spans="1:8" ht="15.5" x14ac:dyDescent="0.35">
      <c r="A49" s="98" t="s">
        <v>173</v>
      </c>
      <c r="B49" s="99">
        <v>44642.748368055603</v>
      </c>
      <c r="C49" s="130" t="s">
        <v>139</v>
      </c>
      <c r="D49" s="134" t="s">
        <v>638</v>
      </c>
      <c r="E49" s="134">
        <v>15</v>
      </c>
      <c r="F49" s="130" t="s">
        <v>616</v>
      </c>
      <c r="G49" s="127" t="s">
        <v>93</v>
      </c>
      <c r="H49" s="98" t="s">
        <v>94</v>
      </c>
    </row>
    <row r="50" spans="1:8" ht="15.5" x14ac:dyDescent="0.35">
      <c r="A50" s="98" t="s">
        <v>176</v>
      </c>
      <c r="B50" s="99">
        <v>44642.748368055603</v>
      </c>
      <c r="C50" s="130" t="s">
        <v>144</v>
      </c>
      <c r="D50" s="134" t="s">
        <v>638</v>
      </c>
      <c r="E50" s="134">
        <v>15</v>
      </c>
      <c r="F50" s="130" t="s">
        <v>616</v>
      </c>
      <c r="G50" s="127" t="s">
        <v>93</v>
      </c>
      <c r="H50" s="98" t="s">
        <v>94</v>
      </c>
    </row>
    <row r="51" spans="1:8" ht="15.5" x14ac:dyDescent="0.35">
      <c r="A51" s="98" t="s">
        <v>177</v>
      </c>
      <c r="B51" s="99">
        <v>44642.748368055603</v>
      </c>
      <c r="C51" s="130" t="s">
        <v>146</v>
      </c>
      <c r="D51" s="134" t="s">
        <v>638</v>
      </c>
      <c r="E51" s="134">
        <v>15</v>
      </c>
      <c r="F51" s="130" t="s">
        <v>616</v>
      </c>
      <c r="G51" s="127" t="s">
        <v>93</v>
      </c>
      <c r="H51" s="98" t="s">
        <v>94</v>
      </c>
    </row>
    <row r="52" spans="1:8" ht="15.5" x14ac:dyDescent="0.35">
      <c r="A52" s="98" t="s">
        <v>178</v>
      </c>
      <c r="B52" s="99">
        <v>44642.7483796296</v>
      </c>
      <c r="C52" s="130" t="s">
        <v>251</v>
      </c>
      <c r="D52" s="134" t="s">
        <v>638</v>
      </c>
      <c r="E52" s="134">
        <v>20</v>
      </c>
      <c r="F52" s="130" t="s">
        <v>616</v>
      </c>
      <c r="G52" s="127" t="s">
        <v>93</v>
      </c>
      <c r="H52" s="98" t="s">
        <v>94</v>
      </c>
    </row>
    <row r="53" spans="1:8" ht="15.5" x14ac:dyDescent="0.35">
      <c r="A53" s="98" t="s">
        <v>179</v>
      </c>
      <c r="B53" s="99">
        <v>44642.7483796296</v>
      </c>
      <c r="C53" s="130" t="s">
        <v>261</v>
      </c>
      <c r="D53" s="134" t="s">
        <v>638</v>
      </c>
      <c r="E53" s="134">
        <v>15</v>
      </c>
      <c r="F53" s="130" t="s">
        <v>616</v>
      </c>
      <c r="G53" s="127" t="s">
        <v>93</v>
      </c>
      <c r="H53" s="98" t="s">
        <v>94</v>
      </c>
    </row>
    <row r="54" spans="1:8" ht="15.5" x14ac:dyDescent="0.35">
      <c r="A54" s="98" t="s">
        <v>180</v>
      </c>
      <c r="B54" s="99">
        <v>44642.7483796296</v>
      </c>
      <c r="C54" s="130" t="s">
        <v>318</v>
      </c>
      <c r="D54" s="134" t="s">
        <v>638</v>
      </c>
      <c r="E54" s="134">
        <v>15</v>
      </c>
      <c r="F54" s="130" t="s">
        <v>616</v>
      </c>
      <c r="G54" s="127" t="s">
        <v>93</v>
      </c>
      <c r="H54" s="98" t="s">
        <v>94</v>
      </c>
    </row>
    <row r="55" spans="1:8" ht="15.5" x14ac:dyDescent="0.35">
      <c r="A55" s="98" t="s">
        <v>181</v>
      </c>
      <c r="B55" s="99">
        <v>44642.7483796296</v>
      </c>
      <c r="C55" s="130" t="s">
        <v>319</v>
      </c>
      <c r="D55" s="134" t="s">
        <v>638</v>
      </c>
      <c r="E55" s="134">
        <v>22</v>
      </c>
      <c r="F55" s="130" t="s">
        <v>616</v>
      </c>
      <c r="G55" s="127" t="s">
        <v>93</v>
      </c>
      <c r="H55" s="98" t="s">
        <v>94</v>
      </c>
    </row>
    <row r="56" spans="1:8" ht="15.5" x14ac:dyDescent="0.35">
      <c r="A56" s="98" t="s">
        <v>182</v>
      </c>
      <c r="B56" s="99">
        <v>44642.7483796296</v>
      </c>
      <c r="C56" s="130" t="s">
        <v>376</v>
      </c>
      <c r="D56" s="134" t="s">
        <v>638</v>
      </c>
      <c r="E56" s="134">
        <v>15</v>
      </c>
      <c r="F56" s="130" t="s">
        <v>616</v>
      </c>
      <c r="G56" s="127" t="s">
        <v>93</v>
      </c>
      <c r="H56" s="98" t="s">
        <v>94</v>
      </c>
    </row>
    <row r="57" spans="1:8" ht="15.5" x14ac:dyDescent="0.35">
      <c r="A57" s="98" t="s">
        <v>183</v>
      </c>
      <c r="B57" s="99">
        <v>44642.7483796296</v>
      </c>
      <c r="C57" s="130" t="s">
        <v>389</v>
      </c>
      <c r="D57" s="134" t="s">
        <v>638</v>
      </c>
      <c r="E57" s="134">
        <v>15</v>
      </c>
      <c r="F57" s="130" t="s">
        <v>616</v>
      </c>
      <c r="G57" s="127" t="s">
        <v>93</v>
      </c>
      <c r="H57" s="98" t="s">
        <v>94</v>
      </c>
    </row>
    <row r="58" spans="1:8" x14ac:dyDescent="0.35">
      <c r="A58" s="98" t="s">
        <v>184</v>
      </c>
      <c r="B58" s="99">
        <v>44642.7483796296</v>
      </c>
      <c r="C58" s="129" t="s">
        <v>230</v>
      </c>
      <c r="D58" s="134" t="s">
        <v>637</v>
      </c>
      <c r="E58" s="134">
        <v>15</v>
      </c>
      <c r="F58" s="129" t="s">
        <v>617</v>
      </c>
      <c r="G58" s="127" t="s">
        <v>93</v>
      </c>
      <c r="H58" s="98" t="s">
        <v>94</v>
      </c>
    </row>
    <row r="59" spans="1:8" x14ac:dyDescent="0.35">
      <c r="A59" s="98" t="s">
        <v>185</v>
      </c>
      <c r="B59" s="99">
        <v>44642.7483796296</v>
      </c>
      <c r="C59" s="129" t="s">
        <v>237</v>
      </c>
      <c r="D59" s="134" t="s">
        <v>637</v>
      </c>
      <c r="E59" s="134">
        <v>20</v>
      </c>
      <c r="F59" s="129" t="s">
        <v>617</v>
      </c>
      <c r="G59" s="127" t="s">
        <v>93</v>
      </c>
      <c r="H59" s="98" t="s">
        <v>94</v>
      </c>
    </row>
    <row r="60" spans="1:8" x14ac:dyDescent="0.35">
      <c r="A60" s="98" t="s">
        <v>186</v>
      </c>
      <c r="B60" s="99">
        <v>44642.7483796296</v>
      </c>
      <c r="C60" s="129" t="s">
        <v>240</v>
      </c>
      <c r="D60" s="134" t="s">
        <v>637</v>
      </c>
      <c r="E60" s="134">
        <v>12</v>
      </c>
      <c r="F60" s="129" t="s">
        <v>617</v>
      </c>
      <c r="G60" s="127" t="s">
        <v>93</v>
      </c>
      <c r="H60" s="98" t="s">
        <v>94</v>
      </c>
    </row>
    <row r="61" spans="1:8" x14ac:dyDescent="0.35">
      <c r="A61" s="98" t="s">
        <v>187</v>
      </c>
      <c r="B61" s="99">
        <v>44642.7483796296</v>
      </c>
      <c r="C61" s="129" t="s">
        <v>283</v>
      </c>
      <c r="D61" s="134" t="s">
        <v>637</v>
      </c>
      <c r="E61" s="134">
        <v>8</v>
      </c>
      <c r="F61" s="129" t="s">
        <v>617</v>
      </c>
      <c r="G61" s="127" t="s">
        <v>93</v>
      </c>
      <c r="H61" s="98" t="s">
        <v>94</v>
      </c>
    </row>
    <row r="62" spans="1:8" x14ac:dyDescent="0.35">
      <c r="A62" s="98" t="s">
        <v>188</v>
      </c>
      <c r="B62" s="99">
        <v>44642.7483796296</v>
      </c>
      <c r="C62" s="129" t="s">
        <v>334</v>
      </c>
      <c r="D62" s="134" t="s">
        <v>637</v>
      </c>
      <c r="E62" s="134">
        <v>12</v>
      </c>
      <c r="F62" s="129" t="s">
        <v>617</v>
      </c>
      <c r="G62" s="127" t="s">
        <v>93</v>
      </c>
      <c r="H62" s="98" t="s">
        <v>94</v>
      </c>
    </row>
    <row r="63" spans="1:8" ht="15.5" x14ac:dyDescent="0.35">
      <c r="A63" s="98" t="s">
        <v>190</v>
      </c>
      <c r="B63" s="99">
        <v>44642.7483796296</v>
      </c>
      <c r="C63" s="129" t="s">
        <v>264</v>
      </c>
      <c r="D63" s="134" t="s">
        <v>638</v>
      </c>
      <c r="E63" s="134">
        <v>12</v>
      </c>
      <c r="F63" s="130" t="s">
        <v>618</v>
      </c>
      <c r="G63" s="127" t="s">
        <v>93</v>
      </c>
      <c r="H63" s="98" t="s">
        <v>94</v>
      </c>
    </row>
    <row r="64" spans="1:8" ht="25" x14ac:dyDescent="0.35">
      <c r="A64" s="98" t="s">
        <v>191</v>
      </c>
      <c r="B64" s="99">
        <v>44642.7483796296</v>
      </c>
      <c r="C64" s="140" t="s">
        <v>625</v>
      </c>
      <c r="D64" s="134" t="s">
        <v>637</v>
      </c>
      <c r="E64" s="134">
        <v>10</v>
      </c>
      <c r="F64" s="129" t="s">
        <v>98</v>
      </c>
      <c r="G64" s="127" t="s">
        <v>93</v>
      </c>
      <c r="H64" s="98" t="s">
        <v>94</v>
      </c>
    </row>
    <row r="65" spans="1:8" x14ac:dyDescent="0.35">
      <c r="A65" s="98" t="s">
        <v>192</v>
      </c>
      <c r="B65" s="99">
        <v>44642.7483796296</v>
      </c>
      <c r="C65" s="129" t="s">
        <v>124</v>
      </c>
      <c r="D65" s="134" t="s">
        <v>637</v>
      </c>
      <c r="E65" s="134">
        <v>10</v>
      </c>
      <c r="F65" s="129" t="s">
        <v>98</v>
      </c>
      <c r="G65" s="127" t="s">
        <v>93</v>
      </c>
      <c r="H65" s="98" t="s">
        <v>94</v>
      </c>
    </row>
    <row r="66" spans="1:8" x14ac:dyDescent="0.35">
      <c r="A66" s="98" t="s">
        <v>193</v>
      </c>
      <c r="B66" s="99">
        <v>44642.7483796296</v>
      </c>
      <c r="C66" s="129" t="s">
        <v>127</v>
      </c>
      <c r="D66" s="134" t="s">
        <v>637</v>
      </c>
      <c r="E66" s="134">
        <v>18</v>
      </c>
      <c r="F66" s="129" t="s">
        <v>98</v>
      </c>
      <c r="G66" s="127" t="s">
        <v>93</v>
      </c>
      <c r="H66" s="98" t="s">
        <v>94</v>
      </c>
    </row>
    <row r="67" spans="1:8" x14ac:dyDescent="0.35">
      <c r="A67" s="98" t="s">
        <v>194</v>
      </c>
      <c r="B67" s="99">
        <v>44642.7483796296</v>
      </c>
      <c r="C67" s="129" t="s">
        <v>166</v>
      </c>
      <c r="D67" s="134" t="s">
        <v>637</v>
      </c>
      <c r="E67" s="134">
        <v>8</v>
      </c>
      <c r="F67" s="129" t="s">
        <v>98</v>
      </c>
      <c r="G67" s="127" t="s">
        <v>93</v>
      </c>
      <c r="H67" s="98" t="s">
        <v>94</v>
      </c>
    </row>
    <row r="68" spans="1:8" x14ac:dyDescent="0.35">
      <c r="A68" s="98" t="s">
        <v>195</v>
      </c>
      <c r="B68" s="99">
        <v>44642.7483796296</v>
      </c>
      <c r="C68" s="129" t="s">
        <v>171</v>
      </c>
      <c r="D68" s="134" t="s">
        <v>637</v>
      </c>
      <c r="E68" s="134">
        <v>5</v>
      </c>
      <c r="F68" s="129" t="s">
        <v>98</v>
      </c>
      <c r="G68" s="127" t="s">
        <v>93</v>
      </c>
      <c r="H68" s="98" t="s">
        <v>94</v>
      </c>
    </row>
    <row r="69" spans="1:8" x14ac:dyDescent="0.35">
      <c r="A69" s="98" t="s">
        <v>196</v>
      </c>
      <c r="B69" s="99">
        <v>44642.7483796296</v>
      </c>
      <c r="C69" s="129" t="s">
        <v>174</v>
      </c>
      <c r="D69" s="134" t="s">
        <v>637</v>
      </c>
      <c r="E69" s="134">
        <v>5</v>
      </c>
      <c r="F69" s="129" t="s">
        <v>98</v>
      </c>
      <c r="G69" s="127" t="s">
        <v>93</v>
      </c>
      <c r="H69" s="98" t="s">
        <v>94</v>
      </c>
    </row>
    <row r="70" spans="1:8" x14ac:dyDescent="0.35">
      <c r="A70" s="98" t="s">
        <v>197</v>
      </c>
      <c r="B70" s="99">
        <v>44642.7483796296</v>
      </c>
      <c r="C70" s="129" t="s">
        <v>209</v>
      </c>
      <c r="D70" s="134" t="s">
        <v>637</v>
      </c>
      <c r="E70" s="134">
        <v>15</v>
      </c>
      <c r="F70" s="129" t="s">
        <v>98</v>
      </c>
      <c r="G70" s="127" t="s">
        <v>93</v>
      </c>
      <c r="H70" s="98" t="s">
        <v>94</v>
      </c>
    </row>
    <row r="71" spans="1:8" x14ac:dyDescent="0.35">
      <c r="A71" s="98" t="s">
        <v>198</v>
      </c>
      <c r="B71" s="99">
        <v>44642.754733796297</v>
      </c>
      <c r="C71" s="129" t="s">
        <v>213</v>
      </c>
      <c r="D71" s="134" t="s">
        <v>637</v>
      </c>
      <c r="E71" s="134">
        <v>15</v>
      </c>
      <c r="F71" s="129" t="s">
        <v>98</v>
      </c>
      <c r="G71" s="127" t="s">
        <v>93</v>
      </c>
      <c r="H71" s="98" t="s">
        <v>94</v>
      </c>
    </row>
    <row r="72" spans="1:8" x14ac:dyDescent="0.35">
      <c r="A72" s="98" t="s">
        <v>200</v>
      </c>
      <c r="B72" s="99">
        <v>44642.754733796297</v>
      </c>
      <c r="C72" s="129" t="s">
        <v>295</v>
      </c>
      <c r="D72" s="134" t="s">
        <v>637</v>
      </c>
      <c r="E72" s="134">
        <v>15</v>
      </c>
      <c r="F72" s="129" t="s">
        <v>98</v>
      </c>
      <c r="G72" s="127" t="s">
        <v>93</v>
      </c>
      <c r="H72" s="98" t="s">
        <v>94</v>
      </c>
    </row>
    <row r="73" spans="1:8" x14ac:dyDescent="0.35">
      <c r="A73" s="98" t="s">
        <v>201</v>
      </c>
      <c r="B73" s="99">
        <v>44642.7483796296</v>
      </c>
      <c r="C73" s="129" t="s">
        <v>302</v>
      </c>
      <c r="D73" s="134" t="s">
        <v>637</v>
      </c>
      <c r="E73" s="134">
        <v>10</v>
      </c>
      <c r="F73" s="129" t="s">
        <v>98</v>
      </c>
      <c r="G73" s="127" t="s">
        <v>93</v>
      </c>
      <c r="H73" s="98" t="s">
        <v>94</v>
      </c>
    </row>
    <row r="74" spans="1:8" x14ac:dyDescent="0.35">
      <c r="A74" s="98" t="s">
        <v>203</v>
      </c>
      <c r="B74" s="99">
        <v>44642.748402777797</v>
      </c>
      <c r="C74" s="129" t="s">
        <v>321</v>
      </c>
      <c r="D74" s="134" t="s">
        <v>637</v>
      </c>
      <c r="E74" s="134">
        <v>15</v>
      </c>
      <c r="F74" s="129" t="s">
        <v>98</v>
      </c>
      <c r="G74" s="127" t="s">
        <v>93</v>
      </c>
      <c r="H74" s="98" t="s">
        <v>94</v>
      </c>
    </row>
    <row r="75" spans="1:8" x14ac:dyDescent="0.35">
      <c r="A75" s="98" t="s">
        <v>205</v>
      </c>
      <c r="B75" s="99">
        <v>44642.748402777797</v>
      </c>
      <c r="C75" s="129" t="s">
        <v>322</v>
      </c>
      <c r="D75" s="134" t="s">
        <v>637</v>
      </c>
      <c r="E75" s="134">
        <v>15</v>
      </c>
      <c r="F75" s="129" t="s">
        <v>98</v>
      </c>
      <c r="G75" s="127" t="s">
        <v>93</v>
      </c>
      <c r="H75" s="98" t="s">
        <v>94</v>
      </c>
    </row>
    <row r="76" spans="1:8" x14ac:dyDescent="0.35">
      <c r="A76" s="98" t="s">
        <v>206</v>
      </c>
      <c r="B76" s="99">
        <v>44642.748437499999</v>
      </c>
      <c r="C76" s="129" t="s">
        <v>323</v>
      </c>
      <c r="D76" s="134" t="s">
        <v>637</v>
      </c>
      <c r="E76" s="134">
        <v>15</v>
      </c>
      <c r="F76" s="129" t="s">
        <v>98</v>
      </c>
      <c r="G76" s="127" t="s">
        <v>93</v>
      </c>
      <c r="H76" s="98" t="s">
        <v>94</v>
      </c>
    </row>
    <row r="77" spans="1:8" x14ac:dyDescent="0.35">
      <c r="A77" s="98" t="s">
        <v>207</v>
      </c>
      <c r="B77" s="99">
        <v>44642.748449074097</v>
      </c>
      <c r="C77" s="129" t="s">
        <v>324</v>
      </c>
      <c r="D77" s="134" t="s">
        <v>637</v>
      </c>
      <c r="E77" s="134">
        <v>20</v>
      </c>
      <c r="F77" s="129" t="s">
        <v>98</v>
      </c>
      <c r="G77" s="127" t="s">
        <v>93</v>
      </c>
      <c r="H77" s="98" t="s">
        <v>94</v>
      </c>
    </row>
    <row r="78" spans="1:8" x14ac:dyDescent="0.35">
      <c r="A78" s="98" t="s">
        <v>208</v>
      </c>
      <c r="B78" s="99">
        <v>44642.748449074097</v>
      </c>
      <c r="C78" s="129" t="s">
        <v>325</v>
      </c>
      <c r="D78" s="134" t="s">
        <v>637</v>
      </c>
      <c r="E78" s="134">
        <v>22</v>
      </c>
      <c r="F78" s="129" t="s">
        <v>98</v>
      </c>
      <c r="G78" s="127" t="s">
        <v>93</v>
      </c>
      <c r="H78" s="98" t="s">
        <v>94</v>
      </c>
    </row>
    <row r="79" spans="1:8" x14ac:dyDescent="0.35">
      <c r="A79" s="98" t="s">
        <v>210</v>
      </c>
      <c r="B79" s="99">
        <v>44642.754733796297</v>
      </c>
      <c r="C79" s="129" t="s">
        <v>329</v>
      </c>
      <c r="D79" s="134" t="s">
        <v>637</v>
      </c>
      <c r="E79" s="134">
        <v>11</v>
      </c>
      <c r="F79" s="129" t="s">
        <v>98</v>
      </c>
      <c r="G79" s="127" t="s">
        <v>93</v>
      </c>
      <c r="H79" s="98" t="s">
        <v>94</v>
      </c>
    </row>
    <row r="80" spans="1:8" x14ac:dyDescent="0.35">
      <c r="A80" s="98" t="s">
        <v>211</v>
      </c>
      <c r="B80" s="99">
        <v>44642.754733796297</v>
      </c>
      <c r="C80" s="129" t="s">
        <v>331</v>
      </c>
      <c r="D80" s="134" t="s">
        <v>637</v>
      </c>
      <c r="E80" s="134">
        <v>15</v>
      </c>
      <c r="F80" s="129" t="s">
        <v>98</v>
      </c>
      <c r="G80" s="127" t="s">
        <v>93</v>
      </c>
      <c r="H80" s="98" t="s">
        <v>94</v>
      </c>
    </row>
    <row r="81" spans="1:8" ht="25" x14ac:dyDescent="0.35">
      <c r="A81" s="98" t="s">
        <v>212</v>
      </c>
      <c r="B81" s="99">
        <v>44642.748449074097</v>
      </c>
      <c r="C81" s="129" t="s">
        <v>332</v>
      </c>
      <c r="D81" s="134" t="s">
        <v>637</v>
      </c>
      <c r="E81" s="134">
        <v>15</v>
      </c>
      <c r="F81" s="129" t="s">
        <v>98</v>
      </c>
      <c r="G81" s="127" t="s">
        <v>93</v>
      </c>
      <c r="H81" s="98" t="s">
        <v>94</v>
      </c>
    </row>
    <row r="82" spans="1:8" ht="25" x14ac:dyDescent="0.35">
      <c r="A82" s="98" t="s">
        <v>214</v>
      </c>
      <c r="B82" s="99">
        <v>44642.754733796297</v>
      </c>
      <c r="C82" s="129" t="s">
        <v>333</v>
      </c>
      <c r="D82" s="134" t="s">
        <v>637</v>
      </c>
      <c r="E82" s="134">
        <v>15</v>
      </c>
      <c r="F82" s="129" t="s">
        <v>98</v>
      </c>
      <c r="G82" s="127" t="s">
        <v>93</v>
      </c>
      <c r="H82" s="98" t="s">
        <v>94</v>
      </c>
    </row>
    <row r="83" spans="1:8" x14ac:dyDescent="0.35">
      <c r="A83" s="98" t="s">
        <v>215</v>
      </c>
      <c r="B83" s="99">
        <v>44642.754733796297</v>
      </c>
      <c r="C83" s="129" t="s">
        <v>343</v>
      </c>
      <c r="D83" s="134" t="s">
        <v>637</v>
      </c>
      <c r="E83" s="134">
        <v>15</v>
      </c>
      <c r="F83" s="129" t="s">
        <v>98</v>
      </c>
      <c r="G83" s="127" t="s">
        <v>93</v>
      </c>
      <c r="H83" s="98" t="s">
        <v>94</v>
      </c>
    </row>
    <row r="84" spans="1:8" x14ac:dyDescent="0.35">
      <c r="A84" s="98" t="s">
        <v>216</v>
      </c>
      <c r="B84" s="99">
        <v>44642.748460648101</v>
      </c>
      <c r="C84" s="129" t="s">
        <v>349</v>
      </c>
      <c r="D84" s="134" t="s">
        <v>637</v>
      </c>
      <c r="E84" s="134">
        <v>8</v>
      </c>
      <c r="F84" s="129" t="s">
        <v>98</v>
      </c>
      <c r="G84" s="127" t="s">
        <v>93</v>
      </c>
      <c r="H84" s="98" t="s">
        <v>94</v>
      </c>
    </row>
    <row r="85" spans="1:8" x14ac:dyDescent="0.35">
      <c r="A85" s="98" t="s">
        <v>217</v>
      </c>
      <c r="B85" s="99">
        <v>44642.748530092598</v>
      </c>
      <c r="C85" s="129" t="s">
        <v>360</v>
      </c>
      <c r="D85" s="134" t="s">
        <v>637</v>
      </c>
      <c r="E85" s="134">
        <v>11</v>
      </c>
      <c r="F85" s="129" t="s">
        <v>98</v>
      </c>
      <c r="G85" s="127" t="s">
        <v>93</v>
      </c>
      <c r="H85" s="98" t="s">
        <v>94</v>
      </c>
    </row>
    <row r="86" spans="1:8" x14ac:dyDescent="0.35">
      <c r="A86" s="98" t="s">
        <v>218</v>
      </c>
      <c r="B86" s="99">
        <v>44642.748530092598</v>
      </c>
      <c r="C86" s="129" t="s">
        <v>365</v>
      </c>
      <c r="D86" s="134" t="s">
        <v>637</v>
      </c>
      <c r="E86" s="134">
        <v>15</v>
      </c>
      <c r="F86" s="129" t="s">
        <v>98</v>
      </c>
      <c r="G86" s="127" t="s">
        <v>93</v>
      </c>
      <c r="H86" s="98" t="s">
        <v>94</v>
      </c>
    </row>
    <row r="87" spans="1:8" x14ac:dyDescent="0.35">
      <c r="A87" s="98" t="s">
        <v>219</v>
      </c>
      <c r="B87" s="99">
        <v>44642.748530092598</v>
      </c>
      <c r="C87" s="129" t="s">
        <v>383</v>
      </c>
      <c r="D87" s="134" t="s">
        <v>637</v>
      </c>
      <c r="E87" s="134">
        <v>10</v>
      </c>
      <c r="F87" s="129" t="s">
        <v>98</v>
      </c>
      <c r="G87" s="127" t="s">
        <v>93</v>
      </c>
      <c r="H87" s="98" t="s">
        <v>94</v>
      </c>
    </row>
    <row r="88" spans="1:8" x14ac:dyDescent="0.35">
      <c r="A88" s="98" t="s">
        <v>220</v>
      </c>
      <c r="B88" s="99">
        <v>44642.754733796297</v>
      </c>
      <c r="C88" s="129" t="s">
        <v>386</v>
      </c>
      <c r="D88" s="134" t="s">
        <v>637</v>
      </c>
      <c r="E88" s="134">
        <v>18</v>
      </c>
      <c r="F88" s="129" t="s">
        <v>98</v>
      </c>
      <c r="G88" s="127" t="s">
        <v>93</v>
      </c>
      <c r="H88" s="98" t="s">
        <v>94</v>
      </c>
    </row>
    <row r="89" spans="1:8" ht="15.5" x14ac:dyDescent="0.35">
      <c r="A89" s="98" t="s">
        <v>222</v>
      </c>
      <c r="B89" s="99">
        <v>44642.748530092598</v>
      </c>
      <c r="C89" s="129" t="s">
        <v>131</v>
      </c>
      <c r="D89" s="134" t="s">
        <v>638</v>
      </c>
      <c r="E89" s="134">
        <v>18</v>
      </c>
      <c r="F89" s="130" t="s">
        <v>106</v>
      </c>
      <c r="G89" s="127" t="s">
        <v>93</v>
      </c>
      <c r="H89" s="98" t="s">
        <v>94</v>
      </c>
    </row>
    <row r="90" spans="1:8" ht="25" x14ac:dyDescent="0.35">
      <c r="A90" s="98" t="s">
        <v>224</v>
      </c>
      <c r="B90" s="99">
        <v>44642.748530092598</v>
      </c>
      <c r="C90" s="129" t="s">
        <v>133</v>
      </c>
      <c r="D90" s="134" t="s">
        <v>638</v>
      </c>
      <c r="E90" s="134">
        <v>17</v>
      </c>
      <c r="F90" s="130" t="s">
        <v>106</v>
      </c>
      <c r="G90" s="127" t="s">
        <v>93</v>
      </c>
      <c r="H90" s="98" t="s">
        <v>94</v>
      </c>
    </row>
    <row r="91" spans="1:8" ht="15.5" x14ac:dyDescent="0.35">
      <c r="A91" s="98" t="s">
        <v>225</v>
      </c>
      <c r="B91" s="99">
        <v>44642.748530092598</v>
      </c>
      <c r="C91" s="129" t="s">
        <v>135</v>
      </c>
      <c r="D91" s="134" t="s">
        <v>638</v>
      </c>
      <c r="E91" s="134">
        <v>18</v>
      </c>
      <c r="F91" s="130" t="s">
        <v>106</v>
      </c>
      <c r="G91" s="127" t="s">
        <v>93</v>
      </c>
      <c r="H91" s="98" t="s">
        <v>94</v>
      </c>
    </row>
    <row r="92" spans="1:8" ht="25" x14ac:dyDescent="0.35">
      <c r="A92" s="98" t="s">
        <v>227</v>
      </c>
      <c r="B92" s="99">
        <v>44642.748530092598</v>
      </c>
      <c r="C92" s="129" t="s">
        <v>137</v>
      </c>
      <c r="D92" s="134" t="s">
        <v>638</v>
      </c>
      <c r="E92" s="134">
        <v>16</v>
      </c>
      <c r="F92" s="130" t="s">
        <v>106</v>
      </c>
      <c r="G92" s="127" t="s">
        <v>93</v>
      </c>
      <c r="H92" s="98" t="s">
        <v>94</v>
      </c>
    </row>
    <row r="93" spans="1:8" ht="15.5" x14ac:dyDescent="0.35">
      <c r="A93" s="98" t="s">
        <v>228</v>
      </c>
      <c r="B93" s="99">
        <v>44642.748541666697</v>
      </c>
      <c r="C93" s="129" t="s">
        <v>142</v>
      </c>
      <c r="D93" s="134" t="s">
        <v>638</v>
      </c>
      <c r="E93" s="134">
        <v>15</v>
      </c>
      <c r="F93" s="130" t="s">
        <v>106</v>
      </c>
      <c r="G93" s="127" t="s">
        <v>93</v>
      </c>
      <c r="H93" s="98" t="s">
        <v>94</v>
      </c>
    </row>
    <row r="94" spans="1:8" ht="15.5" x14ac:dyDescent="0.35">
      <c r="A94" s="98" t="s">
        <v>229</v>
      </c>
      <c r="B94" s="99">
        <v>44642.7486921296</v>
      </c>
      <c r="C94" s="129" t="s">
        <v>251</v>
      </c>
      <c r="D94" s="134" t="s">
        <v>638</v>
      </c>
      <c r="E94" s="134">
        <v>20</v>
      </c>
      <c r="F94" s="130" t="s">
        <v>106</v>
      </c>
      <c r="G94" s="127" t="s">
        <v>93</v>
      </c>
      <c r="H94" s="98" t="s">
        <v>94</v>
      </c>
    </row>
    <row r="95" spans="1:8" ht="15.5" x14ac:dyDescent="0.35">
      <c r="A95" s="98" t="s">
        <v>231</v>
      </c>
      <c r="B95" s="99">
        <v>44642.7486921296</v>
      </c>
      <c r="C95" s="129" t="s">
        <v>281</v>
      </c>
      <c r="D95" s="134" t="s">
        <v>638</v>
      </c>
      <c r="E95" s="134">
        <v>15</v>
      </c>
      <c r="F95" s="130" t="s">
        <v>106</v>
      </c>
      <c r="G95" s="127" t="s">
        <v>93</v>
      </c>
      <c r="H95" s="98" t="s">
        <v>94</v>
      </c>
    </row>
    <row r="96" spans="1:8" ht="15.5" x14ac:dyDescent="0.35">
      <c r="A96" s="98" t="s">
        <v>233</v>
      </c>
      <c r="B96" s="99">
        <v>44642.7486921296</v>
      </c>
      <c r="C96" s="129" t="s">
        <v>318</v>
      </c>
      <c r="D96" s="134" t="s">
        <v>638</v>
      </c>
      <c r="E96" s="134">
        <v>15</v>
      </c>
      <c r="F96" s="130" t="s">
        <v>106</v>
      </c>
      <c r="G96" s="127" t="s">
        <v>93</v>
      </c>
      <c r="H96" s="98" t="s">
        <v>94</v>
      </c>
    </row>
    <row r="97" spans="1:8" ht="15.5" x14ac:dyDescent="0.35">
      <c r="A97" s="98" t="s">
        <v>235</v>
      </c>
      <c r="B97" s="99">
        <v>44642.7486921296</v>
      </c>
      <c r="C97" s="129" t="s">
        <v>319</v>
      </c>
      <c r="D97" s="134" t="s">
        <v>638</v>
      </c>
      <c r="E97" s="134">
        <v>22</v>
      </c>
      <c r="F97" s="130" t="s">
        <v>106</v>
      </c>
      <c r="G97" s="127" t="s">
        <v>93</v>
      </c>
      <c r="H97" s="98" t="s">
        <v>94</v>
      </c>
    </row>
    <row r="98" spans="1:8" ht="15.5" x14ac:dyDescent="0.35">
      <c r="A98" s="98" t="s">
        <v>236</v>
      </c>
      <c r="B98" s="99">
        <v>44642.7486921296</v>
      </c>
      <c r="C98" s="129" t="s">
        <v>328</v>
      </c>
      <c r="D98" s="134" t="s">
        <v>638</v>
      </c>
      <c r="E98" s="134">
        <v>15</v>
      </c>
      <c r="F98" s="130" t="s">
        <v>106</v>
      </c>
      <c r="G98" s="127" t="s">
        <v>93</v>
      </c>
      <c r="H98" s="98" t="s">
        <v>94</v>
      </c>
    </row>
    <row r="99" spans="1:8" ht="15.5" x14ac:dyDescent="0.35">
      <c r="A99" s="98" t="s">
        <v>238</v>
      </c>
      <c r="B99" s="99">
        <v>44642.7486921296</v>
      </c>
      <c r="C99" s="129" t="s">
        <v>367</v>
      </c>
      <c r="D99" s="134" t="s">
        <v>638</v>
      </c>
      <c r="E99" s="134">
        <v>15</v>
      </c>
      <c r="F99" s="130" t="s">
        <v>106</v>
      </c>
      <c r="G99" s="127" t="s">
        <v>93</v>
      </c>
      <c r="H99" s="98" t="s">
        <v>94</v>
      </c>
    </row>
    <row r="100" spans="1:8" ht="15.5" x14ac:dyDescent="0.35">
      <c r="A100" s="98" t="s">
        <v>239</v>
      </c>
      <c r="B100" s="99">
        <v>44642.7486921296</v>
      </c>
      <c r="C100" s="129" t="s">
        <v>368</v>
      </c>
      <c r="D100" s="134" t="s">
        <v>638</v>
      </c>
      <c r="E100" s="134">
        <v>15</v>
      </c>
      <c r="F100" s="130" t="s">
        <v>106</v>
      </c>
      <c r="G100" s="127" t="s">
        <v>93</v>
      </c>
      <c r="H100" s="98" t="s">
        <v>94</v>
      </c>
    </row>
    <row r="101" spans="1:8" ht="15.5" x14ac:dyDescent="0.35">
      <c r="A101" s="98" t="s">
        <v>241</v>
      </c>
      <c r="B101" s="99">
        <v>44642.7486921296</v>
      </c>
      <c r="C101" s="129" t="s">
        <v>369</v>
      </c>
      <c r="D101" s="134" t="s">
        <v>638</v>
      </c>
      <c r="E101" s="134">
        <v>15</v>
      </c>
      <c r="F101" s="130" t="s">
        <v>106</v>
      </c>
      <c r="G101" s="127" t="s">
        <v>93</v>
      </c>
      <c r="H101" s="98" t="s">
        <v>94</v>
      </c>
    </row>
    <row r="102" spans="1:8" ht="15.5" x14ac:dyDescent="0.35">
      <c r="A102" s="98" t="s">
        <v>242</v>
      </c>
      <c r="B102" s="99">
        <v>44642.7486921296</v>
      </c>
      <c r="C102" s="129" t="s">
        <v>370</v>
      </c>
      <c r="D102" s="134" t="s">
        <v>638</v>
      </c>
      <c r="E102" s="134">
        <v>15</v>
      </c>
      <c r="F102" s="130" t="s">
        <v>106</v>
      </c>
      <c r="G102" s="127" t="s">
        <v>93</v>
      </c>
      <c r="H102" s="98" t="s">
        <v>94</v>
      </c>
    </row>
    <row r="103" spans="1:8" ht="15.5" x14ac:dyDescent="0.35">
      <c r="A103" s="98" t="s">
        <v>243</v>
      </c>
      <c r="B103" s="99">
        <v>44642.7486921296</v>
      </c>
      <c r="C103" s="129" t="s">
        <v>371</v>
      </c>
      <c r="D103" s="134" t="s">
        <v>638</v>
      </c>
      <c r="E103" s="134">
        <v>15</v>
      </c>
      <c r="F103" s="130" t="s">
        <v>106</v>
      </c>
      <c r="G103" s="127" t="s">
        <v>93</v>
      </c>
      <c r="H103" s="98" t="s">
        <v>94</v>
      </c>
    </row>
    <row r="104" spans="1:8" ht="25" x14ac:dyDescent="0.35">
      <c r="A104" s="98" t="s">
        <v>244</v>
      </c>
      <c r="B104" s="99">
        <v>44642.7486921296</v>
      </c>
      <c r="C104" s="129" t="s">
        <v>372</v>
      </c>
      <c r="D104" s="134" t="s">
        <v>638</v>
      </c>
      <c r="E104" s="134">
        <v>15</v>
      </c>
      <c r="F104" s="130" t="s">
        <v>106</v>
      </c>
      <c r="G104" s="127" t="s">
        <v>93</v>
      </c>
      <c r="H104" s="98" t="s">
        <v>94</v>
      </c>
    </row>
    <row r="105" spans="1:8" ht="15.5" x14ac:dyDescent="0.35">
      <c r="A105" s="98" t="s">
        <v>245</v>
      </c>
      <c r="B105" s="99">
        <v>44642.7486921296</v>
      </c>
      <c r="C105" s="129" t="s">
        <v>373</v>
      </c>
      <c r="D105" s="134" t="s">
        <v>638</v>
      </c>
      <c r="E105" s="134">
        <v>15</v>
      </c>
      <c r="F105" s="130" t="s">
        <v>106</v>
      </c>
      <c r="G105" s="127" t="s">
        <v>93</v>
      </c>
      <c r="H105" s="98" t="s">
        <v>94</v>
      </c>
    </row>
    <row r="106" spans="1:8" ht="15.5" x14ac:dyDescent="0.35">
      <c r="A106" s="98" t="s">
        <v>247</v>
      </c>
      <c r="B106" s="99">
        <v>44642.7486921296</v>
      </c>
      <c r="C106" s="129" t="s">
        <v>388</v>
      </c>
      <c r="D106" s="134" t="s">
        <v>638</v>
      </c>
      <c r="E106" s="134">
        <v>22</v>
      </c>
      <c r="F106" s="130" t="s">
        <v>106</v>
      </c>
      <c r="G106" s="127" t="s">
        <v>93</v>
      </c>
      <c r="H106" s="98" t="s">
        <v>94</v>
      </c>
    </row>
    <row r="107" spans="1:8" ht="15.5" x14ac:dyDescent="0.35">
      <c r="A107" s="98" t="s">
        <v>248</v>
      </c>
      <c r="B107" s="99">
        <v>44642.748703703699</v>
      </c>
      <c r="C107" s="129" t="s">
        <v>389</v>
      </c>
      <c r="D107" s="134" t="s">
        <v>638</v>
      </c>
      <c r="E107" s="134">
        <v>15</v>
      </c>
      <c r="F107" s="130" t="s">
        <v>106</v>
      </c>
      <c r="G107" s="127" t="s">
        <v>93</v>
      </c>
      <c r="H107" s="98" t="s">
        <v>94</v>
      </c>
    </row>
    <row r="108" spans="1:8" ht="62.5" x14ac:dyDescent="0.35">
      <c r="A108" s="98" t="s">
        <v>249</v>
      </c>
      <c r="B108" s="99">
        <v>44642.748703703699</v>
      </c>
      <c r="C108" s="129" t="s">
        <v>626</v>
      </c>
      <c r="D108" s="134" t="s">
        <v>637</v>
      </c>
      <c r="E108" s="134">
        <v>2</v>
      </c>
      <c r="F108" s="129" t="s">
        <v>98</v>
      </c>
      <c r="G108" s="127" t="s">
        <v>93</v>
      </c>
      <c r="H108" s="98" t="s">
        <v>94</v>
      </c>
    </row>
    <row r="109" spans="1:8" ht="25" x14ac:dyDescent="0.35">
      <c r="A109" s="98" t="s">
        <v>250</v>
      </c>
      <c r="B109" s="99">
        <v>44642.748703703699</v>
      </c>
      <c r="C109" s="129" t="s">
        <v>627</v>
      </c>
      <c r="D109" s="134" t="s">
        <v>637</v>
      </c>
      <c r="E109" s="134">
        <v>5</v>
      </c>
      <c r="F109" s="130" t="s">
        <v>98</v>
      </c>
      <c r="G109" s="127" t="s">
        <v>93</v>
      </c>
      <c r="H109" s="98" t="s">
        <v>94</v>
      </c>
    </row>
    <row r="110" spans="1:8" ht="15.5" x14ac:dyDescent="0.35">
      <c r="A110" s="98" t="s">
        <v>252</v>
      </c>
      <c r="B110" s="99">
        <v>44642.754733796297</v>
      </c>
      <c r="C110" s="129" t="s">
        <v>628</v>
      </c>
      <c r="D110" s="134" t="s">
        <v>637</v>
      </c>
      <c r="E110" s="134">
        <v>3</v>
      </c>
      <c r="F110" s="130" t="s">
        <v>98</v>
      </c>
      <c r="G110" s="127" t="s">
        <v>93</v>
      </c>
      <c r="H110" s="98" t="s">
        <v>94</v>
      </c>
    </row>
    <row r="111" spans="1:8" ht="62" x14ac:dyDescent="0.35">
      <c r="A111" s="98" t="s">
        <v>253</v>
      </c>
      <c r="B111" s="99">
        <v>44642.748703703699</v>
      </c>
      <c r="C111" s="130" t="s">
        <v>629</v>
      </c>
      <c r="D111" s="134" t="s">
        <v>638</v>
      </c>
      <c r="E111" s="135">
        <v>2</v>
      </c>
      <c r="F111" s="130" t="s">
        <v>106</v>
      </c>
      <c r="G111" s="127" t="s">
        <v>93</v>
      </c>
      <c r="H111" s="98" t="s">
        <v>94</v>
      </c>
    </row>
    <row r="112" spans="1:8" x14ac:dyDescent="0.35">
      <c r="A112" s="98" t="s">
        <v>254</v>
      </c>
      <c r="B112" s="99">
        <v>44966.709201388898</v>
      </c>
      <c r="C112" s="129" t="s">
        <v>322</v>
      </c>
      <c r="D112" s="134" t="s">
        <v>638</v>
      </c>
      <c r="E112" s="134">
        <v>15</v>
      </c>
      <c r="F112" s="129" t="s">
        <v>106</v>
      </c>
      <c r="G112" s="127" t="s">
        <v>93</v>
      </c>
      <c r="H112" s="98" t="s">
        <v>94</v>
      </c>
    </row>
    <row r="113" spans="1:8" x14ac:dyDescent="0.35">
      <c r="A113" s="98" t="s">
        <v>256</v>
      </c>
      <c r="B113" s="99">
        <v>44642.748703703699</v>
      </c>
      <c r="C113" s="129" t="s">
        <v>204</v>
      </c>
      <c r="D113" s="134" t="s">
        <v>638</v>
      </c>
      <c r="E113" s="134">
        <v>30</v>
      </c>
      <c r="F113" s="129" t="s">
        <v>619</v>
      </c>
      <c r="G113" s="127" t="s">
        <v>93</v>
      </c>
      <c r="H113" s="98" t="s">
        <v>94</v>
      </c>
    </row>
    <row r="114" spans="1:8" ht="15.5" x14ac:dyDescent="0.35">
      <c r="A114" s="98" t="s">
        <v>257</v>
      </c>
      <c r="B114" s="99">
        <v>44966.710509259297</v>
      </c>
      <c r="C114" s="130" t="s">
        <v>255</v>
      </c>
      <c r="D114" s="134" t="s">
        <v>638</v>
      </c>
      <c r="E114" s="134">
        <v>10</v>
      </c>
      <c r="F114" s="129" t="s">
        <v>112</v>
      </c>
      <c r="G114" s="127" t="s">
        <v>93</v>
      </c>
      <c r="H114" s="98" t="s">
        <v>94</v>
      </c>
    </row>
    <row r="115" spans="1:8" ht="15.5" x14ac:dyDescent="0.35">
      <c r="A115" s="98" t="s">
        <v>259</v>
      </c>
      <c r="B115" s="99">
        <v>44642.748703703699</v>
      </c>
      <c r="C115" s="130" t="s">
        <v>258</v>
      </c>
      <c r="D115" s="134" t="s">
        <v>638</v>
      </c>
      <c r="E115" s="134">
        <v>10</v>
      </c>
      <c r="F115" s="129" t="s">
        <v>112</v>
      </c>
      <c r="G115" s="127" t="s">
        <v>93</v>
      </c>
      <c r="H115" s="98" t="s">
        <v>94</v>
      </c>
    </row>
    <row r="116" spans="1:8" x14ac:dyDescent="0.35">
      <c r="A116" s="98" t="s">
        <v>260</v>
      </c>
      <c r="B116" s="99">
        <v>44642.748703703699</v>
      </c>
      <c r="C116" s="129" t="s">
        <v>344</v>
      </c>
      <c r="D116" s="134" t="s">
        <v>637</v>
      </c>
      <c r="E116" s="134">
        <v>20</v>
      </c>
      <c r="F116" s="129" t="s">
        <v>161</v>
      </c>
      <c r="G116" s="127" t="s">
        <v>93</v>
      </c>
      <c r="H116" s="98" t="s">
        <v>94</v>
      </c>
    </row>
    <row r="117" spans="1:8" x14ac:dyDescent="0.35">
      <c r="A117" s="98" t="s">
        <v>262</v>
      </c>
      <c r="B117" s="99">
        <v>44642.748703703699</v>
      </c>
      <c r="C117" s="129" t="s">
        <v>345</v>
      </c>
      <c r="D117" s="134" t="s">
        <v>637</v>
      </c>
      <c r="E117" s="134">
        <v>15</v>
      </c>
      <c r="F117" s="129" t="s">
        <v>161</v>
      </c>
      <c r="G117" s="127" t="s">
        <v>93</v>
      </c>
      <c r="H117" s="98" t="s">
        <v>94</v>
      </c>
    </row>
    <row r="118" spans="1:8" ht="15.5" x14ac:dyDescent="0.35">
      <c r="A118" s="98" t="s">
        <v>263</v>
      </c>
      <c r="B118" s="99">
        <v>44642.748703703699</v>
      </c>
      <c r="C118" s="129" t="s">
        <v>155</v>
      </c>
      <c r="D118" s="134" t="s">
        <v>639</v>
      </c>
      <c r="E118" s="134">
        <v>20</v>
      </c>
      <c r="F118" s="129" t="s">
        <v>107</v>
      </c>
      <c r="G118" s="128" t="s">
        <v>93</v>
      </c>
      <c r="H118" s="98" t="s">
        <v>94</v>
      </c>
    </row>
    <row r="119" spans="1:8" ht="15.5" x14ac:dyDescent="0.35">
      <c r="A119" s="98" t="s">
        <v>265</v>
      </c>
      <c r="B119" s="99">
        <v>44642.748703703699</v>
      </c>
      <c r="C119" s="129" t="s">
        <v>189</v>
      </c>
      <c r="D119" s="134" t="s">
        <v>639</v>
      </c>
      <c r="E119" s="134">
        <v>20</v>
      </c>
      <c r="F119" s="129" t="s">
        <v>107</v>
      </c>
      <c r="G119" s="128" t="s">
        <v>93</v>
      </c>
      <c r="H119" s="98" t="s">
        <v>94</v>
      </c>
    </row>
    <row r="120" spans="1:8" ht="37.5" x14ac:dyDescent="0.35">
      <c r="A120" s="98" t="s">
        <v>266</v>
      </c>
      <c r="B120" s="99">
        <v>44642.748703703699</v>
      </c>
      <c r="C120" s="129" t="s">
        <v>630</v>
      </c>
      <c r="D120" s="134" t="s">
        <v>639</v>
      </c>
      <c r="E120" s="134">
        <v>2</v>
      </c>
      <c r="F120" s="129" t="s">
        <v>107</v>
      </c>
      <c r="G120" s="127" t="s">
        <v>93</v>
      </c>
      <c r="H120" s="98" t="s">
        <v>94</v>
      </c>
    </row>
    <row r="121" spans="1:8" ht="25" x14ac:dyDescent="0.35">
      <c r="A121" s="98" t="s">
        <v>268</v>
      </c>
      <c r="B121" s="99">
        <v>44642.748703703699</v>
      </c>
      <c r="C121" s="129" t="s">
        <v>351</v>
      </c>
      <c r="D121" s="134" t="s">
        <v>639</v>
      </c>
      <c r="E121" s="134">
        <v>5</v>
      </c>
      <c r="F121" s="129" t="s">
        <v>107</v>
      </c>
      <c r="G121" s="127" t="s">
        <v>93</v>
      </c>
      <c r="H121" s="98" t="s">
        <v>94</v>
      </c>
    </row>
    <row r="122" spans="1:8" x14ac:dyDescent="0.35">
      <c r="A122" s="98" t="s">
        <v>269</v>
      </c>
      <c r="B122" s="99">
        <v>44642.748703703699</v>
      </c>
      <c r="C122" s="129" t="s">
        <v>352</v>
      </c>
      <c r="D122" s="134" t="s">
        <v>639</v>
      </c>
      <c r="E122" s="134">
        <v>20</v>
      </c>
      <c r="F122" s="129" t="s">
        <v>107</v>
      </c>
      <c r="G122" s="127" t="s">
        <v>93</v>
      </c>
      <c r="H122" s="98" t="s">
        <v>94</v>
      </c>
    </row>
    <row r="123" spans="1:8" ht="25" x14ac:dyDescent="0.35">
      <c r="A123" s="98" t="s">
        <v>270</v>
      </c>
      <c r="B123" s="99">
        <v>44642.748703703699</v>
      </c>
      <c r="C123" s="129" t="s">
        <v>355</v>
      </c>
      <c r="D123" s="134" t="s">
        <v>639</v>
      </c>
      <c r="E123" s="134">
        <v>8</v>
      </c>
      <c r="F123" s="129" t="s">
        <v>107</v>
      </c>
      <c r="G123" s="127" t="s">
        <v>93</v>
      </c>
      <c r="H123" s="98" t="s">
        <v>94</v>
      </c>
    </row>
    <row r="124" spans="1:8" ht="37.5" x14ac:dyDescent="0.35">
      <c r="A124" s="98" t="s">
        <v>271</v>
      </c>
      <c r="B124" s="99">
        <v>44642.748703703699</v>
      </c>
      <c r="C124" s="129" t="s">
        <v>631</v>
      </c>
      <c r="D124" s="134" t="s">
        <v>639</v>
      </c>
      <c r="E124" s="134">
        <v>2</v>
      </c>
      <c r="F124" s="129" t="s">
        <v>116</v>
      </c>
      <c r="G124" s="127" t="s">
        <v>93</v>
      </c>
      <c r="H124" s="98" t="s">
        <v>94</v>
      </c>
    </row>
    <row r="125" spans="1:8" ht="25" x14ac:dyDescent="0.35">
      <c r="A125" s="98" t="s">
        <v>272</v>
      </c>
      <c r="B125" s="99">
        <v>44642.748703703699</v>
      </c>
      <c r="C125" s="129" t="s">
        <v>351</v>
      </c>
      <c r="D125" s="134" t="s">
        <v>639</v>
      </c>
      <c r="E125" s="134">
        <v>5</v>
      </c>
      <c r="F125" s="129" t="s">
        <v>116</v>
      </c>
      <c r="G125" s="127" t="s">
        <v>93</v>
      </c>
      <c r="H125" s="98" t="s">
        <v>94</v>
      </c>
    </row>
    <row r="126" spans="1:8" ht="25" x14ac:dyDescent="0.35">
      <c r="A126" s="98" t="s">
        <v>273</v>
      </c>
      <c r="B126" s="99">
        <v>44642.748703703699</v>
      </c>
      <c r="C126" s="129" t="s">
        <v>355</v>
      </c>
      <c r="D126" s="134" t="s">
        <v>639</v>
      </c>
      <c r="E126" s="134">
        <v>8</v>
      </c>
      <c r="F126" s="129" t="s">
        <v>116</v>
      </c>
      <c r="G126" s="127" t="s">
        <v>93</v>
      </c>
      <c r="H126" s="98" t="s">
        <v>94</v>
      </c>
    </row>
    <row r="127" spans="1:8" x14ac:dyDescent="0.35">
      <c r="A127" s="98" t="s">
        <v>274</v>
      </c>
      <c r="B127" s="99">
        <v>44642.748703703699</v>
      </c>
      <c r="C127" s="129" t="s">
        <v>379</v>
      </c>
      <c r="D127" s="134" t="s">
        <v>639</v>
      </c>
      <c r="E127" s="134">
        <v>20</v>
      </c>
      <c r="F127" s="129" t="s">
        <v>116</v>
      </c>
      <c r="G127" s="127" t="s">
        <v>93</v>
      </c>
      <c r="H127" s="98" t="s">
        <v>94</v>
      </c>
    </row>
    <row r="128" spans="1:8" x14ac:dyDescent="0.35">
      <c r="A128" s="98" t="s">
        <v>275</v>
      </c>
      <c r="B128" s="99">
        <v>44642.748703703699</v>
      </c>
      <c r="C128" s="129" t="s">
        <v>380</v>
      </c>
      <c r="D128" s="134" t="s">
        <v>639</v>
      </c>
      <c r="E128" s="134">
        <v>20</v>
      </c>
      <c r="F128" s="129" t="s">
        <v>116</v>
      </c>
      <c r="G128" s="127" t="s">
        <v>93</v>
      </c>
      <c r="H128" s="98" t="s">
        <v>94</v>
      </c>
    </row>
    <row r="129" spans="1:8" x14ac:dyDescent="0.35">
      <c r="A129" s="98" t="s">
        <v>276</v>
      </c>
      <c r="B129" s="99">
        <v>44642.748703703699</v>
      </c>
      <c r="C129" s="141" t="s">
        <v>347</v>
      </c>
      <c r="D129" s="134" t="s">
        <v>637</v>
      </c>
      <c r="E129" s="134">
        <v>30</v>
      </c>
      <c r="F129" s="129" t="s">
        <v>74</v>
      </c>
      <c r="G129" s="127" t="s">
        <v>93</v>
      </c>
      <c r="H129" s="98" t="s">
        <v>94</v>
      </c>
    </row>
    <row r="130" spans="1:8" x14ac:dyDescent="0.35">
      <c r="A130" s="98" t="s">
        <v>277</v>
      </c>
      <c r="B130" s="99">
        <v>44642.748715277798</v>
      </c>
      <c r="C130" s="129" t="s">
        <v>362</v>
      </c>
      <c r="D130" s="134" t="s">
        <v>637</v>
      </c>
      <c r="E130" s="134">
        <v>10</v>
      </c>
      <c r="F130" s="129" t="s">
        <v>74</v>
      </c>
      <c r="G130" s="127" t="s">
        <v>93</v>
      </c>
      <c r="H130" s="98" t="s">
        <v>94</v>
      </c>
    </row>
    <row r="131" spans="1:8" x14ac:dyDescent="0.35">
      <c r="A131" s="98" t="s">
        <v>278</v>
      </c>
      <c r="B131" s="99">
        <v>44642.748715277798</v>
      </c>
      <c r="C131" s="131" t="s">
        <v>632</v>
      </c>
      <c r="D131" s="134" t="s">
        <v>637</v>
      </c>
      <c r="E131" s="136">
        <v>10</v>
      </c>
      <c r="F131" s="131" t="s">
        <v>74</v>
      </c>
      <c r="G131" s="127" t="s">
        <v>93</v>
      </c>
      <c r="H131" s="98" t="s">
        <v>94</v>
      </c>
    </row>
    <row r="132" spans="1:8" x14ac:dyDescent="0.35">
      <c r="A132" s="98" t="s">
        <v>280</v>
      </c>
      <c r="B132" s="99">
        <v>44642.748726851903</v>
      </c>
      <c r="C132" s="129" t="s">
        <v>251</v>
      </c>
      <c r="D132" s="134" t="s">
        <v>638</v>
      </c>
      <c r="E132" s="134">
        <v>20</v>
      </c>
      <c r="F132" s="129" t="s">
        <v>110</v>
      </c>
      <c r="G132" s="127" t="s">
        <v>614</v>
      </c>
      <c r="H132" s="98" t="s">
        <v>94</v>
      </c>
    </row>
    <row r="133" spans="1:8" x14ac:dyDescent="0.35">
      <c r="A133" s="98" t="s">
        <v>282</v>
      </c>
      <c r="B133" s="99">
        <v>44642.748726851903</v>
      </c>
      <c r="C133" s="129" t="s">
        <v>330</v>
      </c>
      <c r="D133" s="134" t="s">
        <v>637</v>
      </c>
      <c r="E133" s="134">
        <v>5</v>
      </c>
      <c r="F133" s="129" t="s">
        <v>125</v>
      </c>
      <c r="G133" s="127" t="s">
        <v>93</v>
      </c>
      <c r="H133" s="98" t="s">
        <v>94</v>
      </c>
    </row>
    <row r="134" spans="1:8" ht="37.5" x14ac:dyDescent="0.35">
      <c r="A134" s="98" t="s">
        <v>284</v>
      </c>
      <c r="B134" s="99">
        <v>44642.748726851903</v>
      </c>
      <c r="C134" s="129" t="s">
        <v>350</v>
      </c>
      <c r="D134" s="134" t="s">
        <v>637</v>
      </c>
      <c r="E134" s="134">
        <v>2</v>
      </c>
      <c r="F134" s="129" t="s">
        <v>125</v>
      </c>
      <c r="G134" s="127" t="s">
        <v>93</v>
      </c>
      <c r="H134" s="98" t="s">
        <v>94</v>
      </c>
    </row>
    <row r="135" spans="1:8" ht="25" x14ac:dyDescent="0.35">
      <c r="A135" s="98" t="s">
        <v>286</v>
      </c>
      <c r="B135" s="99">
        <v>44642.748726851903</v>
      </c>
      <c r="C135" s="129" t="s">
        <v>351</v>
      </c>
      <c r="D135" s="134" t="s">
        <v>637</v>
      </c>
      <c r="E135" s="134">
        <v>5</v>
      </c>
      <c r="F135" s="129" t="s">
        <v>125</v>
      </c>
      <c r="G135" s="127" t="s">
        <v>93</v>
      </c>
      <c r="H135" s="98" t="s">
        <v>94</v>
      </c>
    </row>
    <row r="136" spans="1:8" x14ac:dyDescent="0.35">
      <c r="A136" s="98" t="s">
        <v>287</v>
      </c>
      <c r="B136" s="99">
        <v>44642.748726851903</v>
      </c>
      <c r="C136" s="129" t="s">
        <v>149</v>
      </c>
      <c r="D136" s="134" t="s">
        <v>637</v>
      </c>
      <c r="E136" s="134">
        <v>12</v>
      </c>
      <c r="F136" s="129" t="s">
        <v>104</v>
      </c>
      <c r="G136" s="127" t="s">
        <v>93</v>
      </c>
      <c r="H136" s="98" t="s">
        <v>94</v>
      </c>
    </row>
    <row r="137" spans="1:8" x14ac:dyDescent="0.35">
      <c r="A137" s="98" t="s">
        <v>289</v>
      </c>
      <c r="B137" s="99">
        <v>44642.748726851903</v>
      </c>
      <c r="C137" s="129" t="s">
        <v>279</v>
      </c>
      <c r="D137" s="134" t="s">
        <v>637</v>
      </c>
      <c r="E137" s="134">
        <v>12</v>
      </c>
      <c r="F137" s="129" t="s">
        <v>104</v>
      </c>
      <c r="G137" s="127" t="s">
        <v>93</v>
      </c>
      <c r="H137" s="98" t="s">
        <v>94</v>
      </c>
    </row>
    <row r="138" spans="1:8" x14ac:dyDescent="0.35">
      <c r="A138" s="98" t="s">
        <v>290</v>
      </c>
      <c r="B138" s="99">
        <v>44642.748726851903</v>
      </c>
      <c r="C138" s="129" t="s">
        <v>298</v>
      </c>
      <c r="D138" s="134" t="s">
        <v>637</v>
      </c>
      <c r="E138" s="134">
        <v>15</v>
      </c>
      <c r="F138" s="129" t="s">
        <v>104</v>
      </c>
      <c r="G138" s="127" t="s">
        <v>93</v>
      </c>
      <c r="H138" s="98" t="s">
        <v>94</v>
      </c>
    </row>
    <row r="139" spans="1:8" x14ac:dyDescent="0.35">
      <c r="A139" s="98" t="s">
        <v>292</v>
      </c>
      <c r="B139" s="99">
        <v>44642.754733796297</v>
      </c>
      <c r="C139" s="129" t="s">
        <v>314</v>
      </c>
      <c r="D139" s="134" t="s">
        <v>637</v>
      </c>
      <c r="E139" s="134">
        <v>10</v>
      </c>
      <c r="F139" s="129" t="s">
        <v>104</v>
      </c>
      <c r="G139" s="127" t="s">
        <v>93</v>
      </c>
      <c r="H139" s="98" t="s">
        <v>94</v>
      </c>
    </row>
    <row r="140" spans="1:8" x14ac:dyDescent="0.35">
      <c r="A140" s="98" t="s">
        <v>293</v>
      </c>
      <c r="B140" s="99">
        <v>44642.748726851903</v>
      </c>
      <c r="C140" s="129" t="s">
        <v>327</v>
      </c>
      <c r="D140" s="134" t="s">
        <v>637</v>
      </c>
      <c r="E140" s="134">
        <v>8</v>
      </c>
      <c r="F140" s="129" t="s">
        <v>104</v>
      </c>
      <c r="G140" s="127" t="s">
        <v>93</v>
      </c>
      <c r="H140" s="98" t="s">
        <v>94</v>
      </c>
    </row>
    <row r="141" spans="1:8" x14ac:dyDescent="0.35">
      <c r="A141" s="98" t="s">
        <v>294</v>
      </c>
      <c r="B141" s="99">
        <v>44642.748726851903</v>
      </c>
      <c r="C141" s="129" t="s">
        <v>331</v>
      </c>
      <c r="D141" s="134" t="s">
        <v>637</v>
      </c>
      <c r="E141" s="134">
        <v>15</v>
      </c>
      <c r="F141" s="129" t="s">
        <v>104</v>
      </c>
      <c r="G141" s="127" t="s">
        <v>93</v>
      </c>
      <c r="H141" s="98" t="s">
        <v>94</v>
      </c>
    </row>
    <row r="142" spans="1:8" ht="25" x14ac:dyDescent="0.35">
      <c r="A142" s="98" t="s">
        <v>296</v>
      </c>
      <c r="B142" s="99">
        <v>44642.754733796297</v>
      </c>
      <c r="C142" s="129" t="s">
        <v>332</v>
      </c>
      <c r="D142" s="134" t="s">
        <v>637</v>
      </c>
      <c r="E142" s="134">
        <v>15</v>
      </c>
      <c r="F142" s="129" t="s">
        <v>104</v>
      </c>
      <c r="G142" s="127" t="s">
        <v>93</v>
      </c>
      <c r="H142" s="98" t="s">
        <v>94</v>
      </c>
    </row>
    <row r="143" spans="1:8" ht="25" x14ac:dyDescent="0.35">
      <c r="A143" s="98" t="s">
        <v>297</v>
      </c>
      <c r="B143" s="99">
        <v>44642.754733796297</v>
      </c>
      <c r="C143" s="129" t="s">
        <v>333</v>
      </c>
      <c r="D143" s="134" t="s">
        <v>637</v>
      </c>
      <c r="E143" s="134">
        <v>15</v>
      </c>
      <c r="F143" s="129" t="s">
        <v>104</v>
      </c>
      <c r="G143" s="127" t="s">
        <v>93</v>
      </c>
      <c r="H143" s="98" t="s">
        <v>94</v>
      </c>
    </row>
    <row r="144" spans="1:8" ht="50" x14ac:dyDescent="0.35">
      <c r="A144" s="98" t="s">
        <v>299</v>
      </c>
      <c r="B144" s="99">
        <v>44642.754733796297</v>
      </c>
      <c r="C144" s="140" t="s">
        <v>633</v>
      </c>
      <c r="D144" s="134" t="s">
        <v>637</v>
      </c>
      <c r="E144" s="134">
        <v>2</v>
      </c>
      <c r="F144" s="129" t="s">
        <v>104</v>
      </c>
      <c r="G144" s="127" t="s">
        <v>93</v>
      </c>
      <c r="H144" s="98" t="s">
        <v>94</v>
      </c>
    </row>
    <row r="145" spans="1:8" ht="25" x14ac:dyDescent="0.35">
      <c r="A145" s="98" t="s">
        <v>300</v>
      </c>
      <c r="B145" s="99">
        <v>44642.7487384259</v>
      </c>
      <c r="C145" s="140" t="s">
        <v>351</v>
      </c>
      <c r="D145" s="134" t="s">
        <v>637</v>
      </c>
      <c r="E145" s="134">
        <v>5</v>
      </c>
      <c r="F145" s="129" t="s">
        <v>104</v>
      </c>
      <c r="G145" s="127" t="s">
        <v>93</v>
      </c>
      <c r="H145" s="98" t="s">
        <v>94</v>
      </c>
    </row>
    <row r="146" spans="1:8" ht="25" x14ac:dyDescent="0.35">
      <c r="A146" s="98" t="s">
        <v>301</v>
      </c>
      <c r="B146" s="99">
        <v>44642.7487384259</v>
      </c>
      <c r="C146" s="129" t="s">
        <v>355</v>
      </c>
      <c r="D146" s="134" t="s">
        <v>637</v>
      </c>
      <c r="E146" s="134">
        <v>8</v>
      </c>
      <c r="F146" s="129" t="s">
        <v>104</v>
      </c>
      <c r="G146" s="127" t="s">
        <v>93</v>
      </c>
      <c r="H146" s="98" t="s">
        <v>94</v>
      </c>
    </row>
    <row r="147" spans="1:8" x14ac:dyDescent="0.35">
      <c r="A147" s="98" t="s">
        <v>303</v>
      </c>
      <c r="B147" s="99">
        <v>44642.754745370403</v>
      </c>
      <c r="C147" s="129" t="s">
        <v>363</v>
      </c>
      <c r="D147" s="134" t="s">
        <v>637</v>
      </c>
      <c r="E147" s="134">
        <v>12</v>
      </c>
      <c r="F147" s="129" t="s">
        <v>104</v>
      </c>
      <c r="G147" s="127" t="s">
        <v>93</v>
      </c>
      <c r="H147" s="98" t="s">
        <v>94</v>
      </c>
    </row>
    <row r="148" spans="1:8" x14ac:dyDescent="0.35">
      <c r="A148" s="98" t="s">
        <v>304</v>
      </c>
      <c r="B148" s="99">
        <v>44642.754745370403</v>
      </c>
      <c r="C148" s="129" t="s">
        <v>364</v>
      </c>
      <c r="D148" s="134" t="s">
        <v>637</v>
      </c>
      <c r="E148" s="134">
        <v>12</v>
      </c>
      <c r="F148" s="129" t="s">
        <v>104</v>
      </c>
      <c r="G148" s="127" t="s">
        <v>93</v>
      </c>
      <c r="H148" s="98" t="s">
        <v>94</v>
      </c>
    </row>
    <row r="149" spans="1:8" ht="43.5" x14ac:dyDescent="0.35">
      <c r="A149" s="98" t="s">
        <v>305</v>
      </c>
      <c r="B149" s="99">
        <v>44642.7487384259</v>
      </c>
      <c r="C149" s="142" t="s">
        <v>634</v>
      </c>
      <c r="D149" s="134" t="s">
        <v>637</v>
      </c>
      <c r="E149" s="134">
        <v>10</v>
      </c>
      <c r="F149" s="129" t="s">
        <v>104</v>
      </c>
      <c r="G149" s="127" t="s">
        <v>93</v>
      </c>
      <c r="H149" s="98" t="s">
        <v>94</v>
      </c>
    </row>
    <row r="150" spans="1:8" ht="15.5" x14ac:dyDescent="0.35">
      <c r="A150" s="98" t="s">
        <v>306</v>
      </c>
      <c r="B150" s="99">
        <v>44642.7487384259</v>
      </c>
      <c r="C150" s="129" t="s">
        <v>354</v>
      </c>
      <c r="D150" s="134" t="s">
        <v>638</v>
      </c>
      <c r="E150" s="134">
        <v>15</v>
      </c>
      <c r="F150" s="130" t="s">
        <v>620</v>
      </c>
      <c r="G150" s="127" t="s">
        <v>93</v>
      </c>
      <c r="H150" s="98" t="s">
        <v>94</v>
      </c>
    </row>
    <row r="151" spans="1:8" ht="15.5" x14ac:dyDescent="0.35">
      <c r="A151" s="98" t="s">
        <v>307</v>
      </c>
      <c r="B151" s="99">
        <v>44642.7487384259</v>
      </c>
      <c r="C151" s="129" t="s">
        <v>356</v>
      </c>
      <c r="D151" s="134" t="s">
        <v>638</v>
      </c>
      <c r="E151" s="134">
        <v>20</v>
      </c>
      <c r="F151" s="130" t="s">
        <v>620</v>
      </c>
      <c r="G151" s="127" t="s">
        <v>93</v>
      </c>
      <c r="H151" s="98" t="s">
        <v>94</v>
      </c>
    </row>
    <row r="152" spans="1:8" ht="15.5" x14ac:dyDescent="0.35">
      <c r="A152" s="98" t="s">
        <v>308</v>
      </c>
      <c r="B152" s="99">
        <v>44642.7487384259</v>
      </c>
      <c r="C152" s="129" t="s">
        <v>357</v>
      </c>
      <c r="D152" s="134" t="s">
        <v>638</v>
      </c>
      <c r="E152" s="134">
        <v>22</v>
      </c>
      <c r="F152" s="130" t="s">
        <v>620</v>
      </c>
      <c r="G152" s="127" t="s">
        <v>93</v>
      </c>
      <c r="H152" s="98" t="s">
        <v>94</v>
      </c>
    </row>
    <row r="153" spans="1:8" ht="15.5" x14ac:dyDescent="0.35">
      <c r="A153" s="98" t="s">
        <v>309</v>
      </c>
      <c r="B153" s="99">
        <v>44642.7487384259</v>
      </c>
      <c r="C153" s="129" t="s">
        <v>358</v>
      </c>
      <c r="D153" s="134" t="s">
        <v>638</v>
      </c>
      <c r="E153" s="134">
        <v>15</v>
      </c>
      <c r="F153" s="130" t="s">
        <v>620</v>
      </c>
      <c r="G153" s="127" t="s">
        <v>93</v>
      </c>
      <c r="H153" s="98" t="s">
        <v>94</v>
      </c>
    </row>
    <row r="154" spans="1:8" ht="15.5" x14ac:dyDescent="0.35">
      <c r="A154" s="98" t="s">
        <v>310</v>
      </c>
      <c r="B154" s="99">
        <v>44642.7487384259</v>
      </c>
      <c r="C154" s="129" t="s">
        <v>359</v>
      </c>
      <c r="D154" s="134" t="s">
        <v>638</v>
      </c>
      <c r="E154" s="134">
        <v>15</v>
      </c>
      <c r="F154" s="130" t="s">
        <v>620</v>
      </c>
      <c r="G154" s="127" t="s">
        <v>93</v>
      </c>
      <c r="H154" s="98" t="s">
        <v>94</v>
      </c>
    </row>
    <row r="155" spans="1:8" x14ac:dyDescent="0.35">
      <c r="A155" s="98" t="s">
        <v>311</v>
      </c>
      <c r="B155" s="99">
        <v>44642.7487384259</v>
      </c>
      <c r="C155" s="132" t="s">
        <v>635</v>
      </c>
      <c r="D155" s="137" t="s">
        <v>640</v>
      </c>
      <c r="E155" s="137">
        <v>10</v>
      </c>
      <c r="F155" s="132" t="s">
        <v>621</v>
      </c>
      <c r="G155" s="127" t="s">
        <v>93</v>
      </c>
      <c r="H155" s="98" t="s">
        <v>94</v>
      </c>
    </row>
    <row r="156" spans="1:8" x14ac:dyDescent="0.35">
      <c r="A156" s="98" t="s">
        <v>312</v>
      </c>
      <c r="B156" s="99">
        <v>44642.748749999999</v>
      </c>
      <c r="C156" s="132" t="s">
        <v>636</v>
      </c>
      <c r="D156" s="137" t="s">
        <v>640</v>
      </c>
      <c r="E156" s="138">
        <v>10</v>
      </c>
      <c r="F156" s="132" t="s">
        <v>621</v>
      </c>
      <c r="G156" s="127" t="s">
        <v>93</v>
      </c>
      <c r="H156" s="98" t="s">
        <v>94</v>
      </c>
    </row>
    <row r="157" spans="1:8" x14ac:dyDescent="0.35">
      <c r="A157" s="98" t="s">
        <v>313</v>
      </c>
      <c r="B157" s="99">
        <v>44642.754745370403</v>
      </c>
      <c r="C157" s="133" t="s">
        <v>74</v>
      </c>
      <c r="D157" s="139" t="s">
        <v>637</v>
      </c>
      <c r="E157" s="139"/>
      <c r="F157" s="133" t="s">
        <v>74</v>
      </c>
      <c r="G157" s="127" t="s">
        <v>93</v>
      </c>
      <c r="H157" s="98" t="s">
        <v>94</v>
      </c>
    </row>
    <row r="158" spans="1:8" x14ac:dyDescent="0.35">
      <c r="A158" s="98" t="s">
        <v>315</v>
      </c>
      <c r="B158" s="99">
        <v>44642.748749999999</v>
      </c>
      <c r="C158" s="133" t="s">
        <v>74</v>
      </c>
      <c r="D158" s="139" t="s">
        <v>638</v>
      </c>
      <c r="E158" s="139"/>
      <c r="F158" s="133" t="s">
        <v>74</v>
      </c>
      <c r="G158" s="127" t="s">
        <v>93</v>
      </c>
      <c r="H158" s="98" t="s">
        <v>94</v>
      </c>
    </row>
    <row r="159" spans="1:8" x14ac:dyDescent="0.35">
      <c r="A159" s="98" t="s">
        <v>316</v>
      </c>
      <c r="B159" s="99">
        <v>44642.748749999999</v>
      </c>
      <c r="C159" s="133" t="s">
        <v>74</v>
      </c>
      <c r="D159" s="139" t="s">
        <v>639</v>
      </c>
      <c r="E159" s="139"/>
      <c r="F159" s="133" t="s">
        <v>74</v>
      </c>
      <c r="G159" s="127" t="s">
        <v>93</v>
      </c>
      <c r="H159" s="98" t="s">
        <v>94</v>
      </c>
    </row>
    <row r="160" spans="1:8" x14ac:dyDescent="0.35">
      <c r="A160" s="98" t="s">
        <v>317</v>
      </c>
      <c r="B160" s="99">
        <v>44642.748749999999</v>
      </c>
      <c r="C160" s="133" t="s">
        <v>74</v>
      </c>
      <c r="D160" s="134" t="s">
        <v>640</v>
      </c>
      <c r="E160" s="139"/>
      <c r="F160" s="133" t="s">
        <v>74</v>
      </c>
      <c r="G160" s="127" t="s">
        <v>93</v>
      </c>
      <c r="H160" s="98" t="s">
        <v>94</v>
      </c>
    </row>
  </sheetData>
  <autoFilter ref="A1:Q160" xr:uid="{E76E669D-45A8-4F03-87D7-DB47B3BF1B6C}"/>
  <dataValidations disablePrompts="1" count="4">
    <dataValidation showInputMessage="1" showErrorMessage="1" error=" " promptTitle="Lookup (required)" prompt="This End Use record must already exist in Microsoft Dynamics CRM or in this source file." sqref="F161:F1048576 F131" xr:uid="{AC155A30-FA57-420F-B431-F1CAE08496AB}"/>
    <dataValidation type="decimal" showInputMessage="1" showErrorMessage="1" errorTitle="Value beyond range" error="Persistence (yrs) must be a number from 0 through 1000." promptTitle="Decimal number (required)" prompt="Minimum Value: 0._x000d__x000a_Maximum Value: 1000._x000d__x000a_  " sqref="E2:E1048576" xr:uid="{F3B725EE-F510-4455-8B3A-615695F961E9}">
      <formula1>0</formula1>
      <formula2>1000</formula2>
    </dataValidation>
    <dataValidation type="textLength" operator="lessThanOrEqual" showInputMessage="1" showErrorMessage="1" errorTitle="Length Exceeded" error="This value must be less than or equal to 273 characters long." promptTitle="Text (required)" prompt="Maximum Length: 273 characters." sqref="C2:C109 C111:C1048576 D161:D1048576 P4" xr:uid="{73F45959-27DA-4CB3-AC15-76B4AE1C357F}">
      <formula1>273</formula1>
    </dataValidation>
    <dataValidation type="date" operator="greaterThanOrEqual" allowBlank="1" showInputMessage="1" showErrorMessage="1" errorTitle="Invalid Date" error="(Do Not Modify) Modified On must be in the correct date and time format." promptTitle="Date and time" prompt=" " sqref="B2:B1048576" xr:uid="{2B20BD19-5373-44AE-8CD0-6B5D2233B2B9}">
      <formula1>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E7BB-79DB-4B5D-AEF0-82B841655F9B}">
  <sheetPr codeName="Sheet9"/>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94332-C122-402B-BC46-0F433620B8BD}">
  <sheetPr codeName="Sheet10"/>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F0"/>
  </sheetPr>
  <dimension ref="A1:O127"/>
  <sheetViews>
    <sheetView showGridLines="0" topLeftCell="A28" zoomScale="80" zoomScaleNormal="80" workbookViewId="0">
      <selection activeCell="O4" sqref="O4:O13"/>
    </sheetView>
  </sheetViews>
  <sheetFormatPr defaultColWidth="0" defaultRowHeight="14" zeroHeight="1" x14ac:dyDescent="0.3"/>
  <cols>
    <col min="1" max="3" width="8.7265625" style="4" customWidth="1"/>
    <col min="4" max="4" width="17.453125" style="4" customWidth="1"/>
    <col min="5" max="5" width="17.54296875" style="4" customWidth="1"/>
    <col min="6" max="6" width="17.453125" style="4" customWidth="1"/>
    <col min="7" max="7" width="8.26953125" style="4" customWidth="1"/>
    <col min="8" max="10" width="11" style="4" customWidth="1"/>
    <col min="11" max="15" width="8.7265625" style="4" customWidth="1"/>
    <col min="16" max="16384" width="8.7265625" style="4" hidden="1"/>
  </cols>
  <sheetData>
    <row r="1" spans="2:14" ht="14.5" thickBot="1" x14ac:dyDescent="0.35"/>
    <row r="2" spans="2:14" ht="60.65" customHeight="1" thickBot="1" x14ac:dyDescent="0.35">
      <c r="B2" s="364" t="str">
        <f>"Dashboard - "&amp;IF(ApplSector="Industrial","Plant","Building")&amp;" Energy Opportunity Results"</f>
        <v>Dashboard - Building Energy Opportunity Results</v>
      </c>
      <c r="C2" s="365"/>
      <c r="D2" s="365"/>
      <c r="E2" s="365"/>
      <c r="F2" s="365"/>
      <c r="G2" s="365"/>
      <c r="H2" s="365"/>
      <c r="I2" s="365"/>
      <c r="J2" s="365"/>
      <c r="K2" s="5"/>
      <c r="L2" s="5"/>
      <c r="M2" s="5"/>
      <c r="N2" s="6"/>
    </row>
    <row r="3" spans="2:14" x14ac:dyDescent="0.3"/>
    <row r="4" spans="2:14" s="7" customFormat="1" ht="32.15" customHeight="1" x14ac:dyDescent="0.35">
      <c r="B4" s="363" t="str">
        <f>T('Basic Info'!C27:L27)</f>
        <v>Building's Energy Information</v>
      </c>
      <c r="C4" s="363"/>
      <c r="D4" s="363"/>
      <c r="E4" s="363"/>
      <c r="F4" s="363"/>
      <c r="G4" s="363"/>
      <c r="H4" s="363"/>
      <c r="I4" s="363"/>
      <c r="J4" s="363"/>
      <c r="K4" s="363"/>
      <c r="L4" s="363"/>
      <c r="M4" s="363"/>
      <c r="N4" s="363"/>
    </row>
    <row r="5" spans="2:14" s="7" customFormat="1" ht="12" customHeight="1" x14ac:dyDescent="0.35">
      <c r="B5" s="8"/>
      <c r="C5" s="8"/>
      <c r="D5" s="8"/>
      <c r="E5" s="8"/>
      <c r="F5" s="8"/>
      <c r="G5" s="8"/>
      <c r="H5" s="8"/>
      <c r="I5" s="8"/>
      <c r="J5" s="8"/>
      <c r="K5" s="8"/>
      <c r="L5" s="8"/>
      <c r="M5" s="8"/>
      <c r="N5" s="8"/>
    </row>
    <row r="6" spans="2:14" s="9" customFormat="1" ht="28" x14ac:dyDescent="0.35">
      <c r="B6" s="366" t="s">
        <v>390</v>
      </c>
      <c r="C6" s="366"/>
      <c r="D6" s="10" t="str">
        <f>"Total "&amp;IF(ApplSector="Industrial","Facility","Building")</f>
        <v>Total Building</v>
      </c>
      <c r="E6" s="10" t="s">
        <v>391</v>
      </c>
      <c r="F6" s="10" t="s">
        <v>392</v>
      </c>
      <c r="H6" s="368" t="s">
        <v>393</v>
      </c>
      <c r="I6" s="369"/>
      <c r="J6" s="369"/>
      <c r="K6" s="369"/>
      <c r="L6" s="369"/>
      <c r="M6" s="369"/>
      <c r="N6" s="370"/>
    </row>
    <row r="7" spans="2:14" x14ac:dyDescent="0.3">
      <c r="B7" s="367" t="s">
        <v>394</v>
      </c>
      <c r="C7" s="367"/>
      <c r="D7" s="11" t="str">
        <f>IF('Basic Info'!G29="","",'Basic Info'!G29)</f>
        <v/>
      </c>
      <c r="E7" s="11">
        <f>SUM(Table3[Electricity Savings Estimate
(kWh/y)])</f>
        <v>0</v>
      </c>
      <c r="F7" s="12" t="e">
        <f>E7/D7</f>
        <v>#VALUE!</v>
      </c>
      <c r="H7" s="371"/>
      <c r="I7" s="372"/>
      <c r="J7" s="372"/>
      <c r="K7" s="372"/>
      <c r="L7" s="372"/>
      <c r="M7" s="372"/>
      <c r="N7" s="373"/>
    </row>
    <row r="8" spans="2:14" x14ac:dyDescent="0.3">
      <c r="B8" s="367" t="s">
        <v>395</v>
      </c>
      <c r="C8" s="367"/>
      <c r="D8" s="11" t="str">
        <f>IF('Basic Info'!G30="","",'Basic Info'!G30)</f>
        <v/>
      </c>
      <c r="E8" s="11" t="e">
        <f>SUM(#REF!)</f>
        <v>#REF!</v>
      </c>
      <c r="F8" s="12" t="e">
        <f>E8/D8</f>
        <v>#REF!</v>
      </c>
      <c r="H8" s="371"/>
      <c r="I8" s="372"/>
      <c r="J8" s="372"/>
      <c r="K8" s="372"/>
      <c r="L8" s="372"/>
      <c r="M8" s="372"/>
      <c r="N8" s="373"/>
    </row>
    <row r="9" spans="2:14" x14ac:dyDescent="0.3">
      <c r="B9" s="367" t="s">
        <v>396</v>
      </c>
      <c r="C9" s="367"/>
      <c r="D9" s="11">
        <f>+'Basic Info'!G38</f>
        <v>0</v>
      </c>
      <c r="E9" s="11">
        <f>+SUM(Table3[Fuel Savings Estimate
(GJ/y)])</f>
        <v>0</v>
      </c>
      <c r="F9" s="12" t="e">
        <f>E9/D9</f>
        <v>#DIV/0!</v>
      </c>
      <c r="H9" s="371"/>
      <c r="I9" s="372"/>
      <c r="J9" s="372"/>
      <c r="K9" s="372"/>
      <c r="L9" s="372"/>
      <c r="M9" s="372"/>
      <c r="N9" s="373"/>
    </row>
    <row r="10" spans="2:14" x14ac:dyDescent="0.3">
      <c r="B10" s="367" t="s">
        <v>397</v>
      </c>
      <c r="C10" s="367"/>
      <c r="D10" s="13">
        <f>IF('Basic Info'!G35="","",'Basic Info'!G35+'Basic Info'!G40)</f>
        <v>0</v>
      </c>
      <c r="E10" s="13" t="e">
        <f>SUM(Table3[Annual Cost Savings
Total
($/y) ])</f>
        <v>#N/A</v>
      </c>
      <c r="F10" s="12" t="e">
        <f>E10/D10</f>
        <v>#N/A</v>
      </c>
      <c r="H10" s="374"/>
      <c r="I10" s="375"/>
      <c r="J10" s="375"/>
      <c r="K10" s="375"/>
      <c r="L10" s="375"/>
      <c r="M10" s="375"/>
      <c r="N10" s="376"/>
    </row>
    <row r="11" spans="2:14" x14ac:dyDescent="0.3">
      <c r="B11" s="14"/>
      <c r="C11" s="14"/>
      <c r="D11" s="15"/>
      <c r="E11" s="15"/>
      <c r="F11" s="16"/>
    </row>
    <row r="12" spans="2:14" x14ac:dyDescent="0.3">
      <c r="B12" s="14"/>
      <c r="C12" s="14"/>
      <c r="D12" s="15"/>
      <c r="E12" s="15"/>
      <c r="F12" s="16"/>
    </row>
    <row r="13" spans="2:14" x14ac:dyDescent="0.3">
      <c r="B13" s="14"/>
      <c r="C13" s="14"/>
      <c r="D13" s="15"/>
      <c r="E13" s="15"/>
      <c r="F13" s="16"/>
    </row>
    <row r="14" spans="2:14" x14ac:dyDescent="0.3">
      <c r="B14" s="14"/>
      <c r="C14" s="14"/>
      <c r="D14" s="15"/>
      <c r="E14" s="15"/>
      <c r="F14" s="16"/>
    </row>
    <row r="15" spans="2:14" x14ac:dyDescent="0.3">
      <c r="B15" s="14"/>
      <c r="C15" s="14"/>
      <c r="D15" s="15"/>
      <c r="E15" s="15"/>
      <c r="F15" s="16"/>
    </row>
    <row r="16" spans="2:14" x14ac:dyDescent="0.3">
      <c r="B16" s="14"/>
      <c r="C16" s="14"/>
      <c r="D16" s="15"/>
      <c r="E16" s="15"/>
      <c r="F16" s="16"/>
    </row>
    <row r="17" spans="2:14" x14ac:dyDescent="0.3">
      <c r="B17" s="14"/>
      <c r="C17" s="14"/>
      <c r="D17" s="15"/>
      <c r="E17" s="15"/>
      <c r="F17" s="16"/>
    </row>
    <row r="18" spans="2:14" x14ac:dyDescent="0.3">
      <c r="B18" s="14"/>
      <c r="C18" s="14"/>
      <c r="D18" s="15"/>
      <c r="E18" s="15"/>
      <c r="F18" s="16"/>
    </row>
    <row r="19" spans="2:14" x14ac:dyDescent="0.3">
      <c r="B19" s="14"/>
      <c r="C19" s="14"/>
      <c r="D19" s="15"/>
      <c r="E19" s="15"/>
      <c r="F19" s="16"/>
    </row>
    <row r="20" spans="2:14" x14ac:dyDescent="0.3">
      <c r="B20" s="14"/>
      <c r="C20" s="14"/>
      <c r="D20" s="15"/>
      <c r="E20" s="15"/>
      <c r="F20" s="16"/>
    </row>
    <row r="21" spans="2:14" x14ac:dyDescent="0.3">
      <c r="B21" s="14"/>
      <c r="C21" s="14"/>
      <c r="D21" s="15"/>
      <c r="E21" s="15"/>
      <c r="F21" s="16"/>
    </row>
    <row r="22" spans="2:14" x14ac:dyDescent="0.3">
      <c r="B22" s="14"/>
      <c r="C22" s="14"/>
      <c r="D22" s="15"/>
      <c r="E22" s="15"/>
      <c r="F22" s="16"/>
    </row>
    <row r="23" spans="2:14" x14ac:dyDescent="0.3">
      <c r="B23" s="14"/>
      <c r="C23" s="14"/>
      <c r="D23" s="15"/>
      <c r="E23" s="15"/>
      <c r="F23" s="16"/>
    </row>
    <row r="24" spans="2:14" x14ac:dyDescent="0.3">
      <c r="B24" s="14"/>
      <c r="C24" s="14"/>
      <c r="D24" s="15"/>
      <c r="E24" s="15"/>
      <c r="F24" s="16"/>
    </row>
    <row r="25" spans="2:14" x14ac:dyDescent="0.3">
      <c r="B25" s="14"/>
      <c r="C25" s="14"/>
      <c r="D25" s="15"/>
      <c r="E25" s="15"/>
      <c r="F25" s="16"/>
    </row>
    <row r="26" spans="2:14" x14ac:dyDescent="0.3">
      <c r="B26" s="14"/>
      <c r="C26" s="14"/>
      <c r="D26" s="15"/>
      <c r="E26" s="15"/>
      <c r="F26" s="16"/>
    </row>
    <row r="27" spans="2:14" x14ac:dyDescent="0.3"/>
    <row r="28" spans="2:14" s="7" customFormat="1" ht="32.15" customHeight="1" x14ac:dyDescent="0.35">
      <c r="B28" s="363" t="s">
        <v>398</v>
      </c>
      <c r="C28" s="363"/>
      <c r="D28" s="363"/>
      <c r="E28" s="363"/>
      <c r="F28" s="363"/>
      <c r="G28" s="363"/>
      <c r="H28" s="363"/>
      <c r="I28" s="363"/>
      <c r="J28" s="363"/>
      <c r="K28" s="363"/>
      <c r="L28" s="363"/>
      <c r="M28" s="363"/>
      <c r="N28" s="363"/>
    </row>
    <row r="29" spans="2:14" x14ac:dyDescent="0.3"/>
    <row r="30" spans="2:14" x14ac:dyDescent="0.3"/>
    <row r="31" spans="2:14" x14ac:dyDescent="0.3"/>
    <row r="32" spans="2:14"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spans="2:14" x14ac:dyDescent="0.3"/>
    <row r="50" spans="2:14" s="7" customFormat="1" ht="32.15" customHeight="1" x14ac:dyDescent="0.35">
      <c r="B50" s="363" t="s">
        <v>399</v>
      </c>
      <c r="C50" s="363"/>
      <c r="D50" s="363"/>
      <c r="E50" s="363"/>
      <c r="F50" s="363"/>
      <c r="G50" s="363"/>
      <c r="H50" s="363"/>
      <c r="I50" s="363"/>
      <c r="J50" s="363"/>
      <c r="K50" s="363"/>
      <c r="L50" s="363"/>
      <c r="M50" s="363"/>
      <c r="N50" s="363"/>
    </row>
    <row r="51" spans="2:14" x14ac:dyDescent="0.3"/>
    <row r="52" spans="2:14" x14ac:dyDescent="0.3"/>
    <row r="53" spans="2:14" x14ac:dyDescent="0.3"/>
    <row r="54" spans="2:14" x14ac:dyDescent="0.3"/>
    <row r="55" spans="2:14" x14ac:dyDescent="0.3"/>
    <row r="56" spans="2:14" x14ac:dyDescent="0.3"/>
    <row r="57" spans="2:14" x14ac:dyDescent="0.3"/>
    <row r="58" spans="2:14" x14ac:dyDescent="0.3"/>
    <row r="59" spans="2:14" x14ac:dyDescent="0.3"/>
    <row r="60" spans="2:14" x14ac:dyDescent="0.3"/>
    <row r="61" spans="2:14" x14ac:dyDescent="0.3"/>
    <row r="62" spans="2:14" x14ac:dyDescent="0.3"/>
    <row r="63" spans="2:14" x14ac:dyDescent="0.3"/>
    <row r="64" spans="2:1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spans="2:14" x14ac:dyDescent="0.3"/>
    <row r="82" spans="2:14" x14ac:dyDescent="0.3"/>
    <row r="83" spans="2:14" x14ac:dyDescent="0.3"/>
    <row r="84" spans="2:14" x14ac:dyDescent="0.3"/>
    <row r="85" spans="2:14" x14ac:dyDescent="0.3"/>
    <row r="86" spans="2:14" x14ac:dyDescent="0.3"/>
    <row r="87" spans="2:14" x14ac:dyDescent="0.3"/>
    <row r="88" spans="2:14" x14ac:dyDescent="0.3"/>
    <row r="89" spans="2:14" x14ac:dyDescent="0.3"/>
    <row r="90" spans="2:14" x14ac:dyDescent="0.3"/>
    <row r="91" spans="2:14" x14ac:dyDescent="0.3"/>
    <row r="92" spans="2:14" s="7" customFormat="1" ht="32.15" customHeight="1" x14ac:dyDescent="0.35">
      <c r="B92" s="363" t="s">
        <v>400</v>
      </c>
      <c r="C92" s="363"/>
      <c r="D92" s="363"/>
      <c r="E92" s="363"/>
      <c r="F92" s="363"/>
      <c r="G92" s="363"/>
      <c r="H92" s="363"/>
      <c r="I92" s="363"/>
      <c r="J92" s="363"/>
      <c r="K92" s="363"/>
      <c r="L92" s="363"/>
      <c r="M92" s="363"/>
      <c r="N92" s="363"/>
    </row>
    <row r="93" spans="2:14" x14ac:dyDescent="0.3"/>
    <row r="94" spans="2:14" x14ac:dyDescent="0.3"/>
    <row r="95" spans="2:14" x14ac:dyDescent="0.3"/>
    <row r="96" spans="2:14"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sheetData>
  <sheetProtection selectLockedCells="1"/>
  <mergeCells count="11">
    <mergeCell ref="B92:N92"/>
    <mergeCell ref="B2:J2"/>
    <mergeCell ref="B4:N4"/>
    <mergeCell ref="B28:N28"/>
    <mergeCell ref="B50:N50"/>
    <mergeCell ref="B6:C6"/>
    <mergeCell ref="B7:C7"/>
    <mergeCell ref="B8:C8"/>
    <mergeCell ref="B10:C10"/>
    <mergeCell ref="H6:N10"/>
    <mergeCell ref="B9:C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95C41-B561-44D4-838E-68D2BAA31DD6}">
  <sheetPr codeName="Sheet5">
    <tabColor rgb="FFFFFF00"/>
  </sheetPr>
  <dimension ref="B1:K67"/>
  <sheetViews>
    <sheetView showGridLines="0" zoomScale="55" zoomScaleNormal="55" workbookViewId="0">
      <selection activeCell="O28" sqref="O28"/>
    </sheetView>
  </sheetViews>
  <sheetFormatPr defaultColWidth="9.26953125" defaultRowHeight="14.5" zeroHeight="1" x14ac:dyDescent="0.35"/>
  <cols>
    <col min="1" max="1" width="9.26953125" style="17" customWidth="1"/>
    <col min="2" max="2" width="15.26953125" style="17" bestFit="1" customWidth="1"/>
    <col min="3" max="3" width="8.54296875" style="18" bestFit="1" customWidth="1"/>
    <col min="4" max="4" width="7.81640625" style="18" bestFit="1" customWidth="1"/>
    <col min="5" max="5" width="11.453125" style="18" bestFit="1" customWidth="1"/>
    <col min="6" max="6" width="7.81640625" style="18" bestFit="1" customWidth="1"/>
    <col min="7" max="7" width="14.81640625" style="17" bestFit="1" customWidth="1"/>
    <col min="8" max="8" width="9.26953125" style="17" customWidth="1"/>
    <col min="9" max="9" width="17" style="17" customWidth="1"/>
    <col min="10" max="16383" width="9.26953125" style="17"/>
    <col min="16384" max="16384" width="17.54296875" style="17" customWidth="1"/>
  </cols>
  <sheetData>
    <row r="1" spans="2:11" x14ac:dyDescent="0.35"/>
    <row r="2" spans="2:11" s="4" customFormat="1" ht="60.65" customHeight="1" x14ac:dyDescent="0.3">
      <c r="B2" s="378" t="s">
        <v>401</v>
      </c>
      <c r="C2" s="379"/>
      <c r="D2" s="380"/>
      <c r="E2" s="19"/>
      <c r="F2" s="20"/>
      <c r="G2" s="21"/>
    </row>
    <row r="3" spans="2:11" s="4" customFormat="1" ht="14" x14ac:dyDescent="0.3"/>
    <row r="4" spans="2:11" s="4" customFormat="1" ht="30" customHeight="1" x14ac:dyDescent="0.3">
      <c r="B4" s="377" t="s">
        <v>402</v>
      </c>
      <c r="C4" s="377"/>
      <c r="D4" s="377"/>
      <c r="E4" s="377"/>
      <c r="F4" s="377"/>
      <c r="G4" s="377"/>
      <c r="H4" s="377"/>
      <c r="I4" s="377"/>
      <c r="J4" s="377"/>
      <c r="K4" s="377"/>
    </row>
    <row r="5" spans="2:11" s="4" customFormat="1" ht="14" x14ac:dyDescent="0.3"/>
    <row r="6" spans="2:11" s="4" customFormat="1" ht="14" x14ac:dyDescent="0.3"/>
    <row r="7" spans="2:11" s="4" customFormat="1" ht="14" x14ac:dyDescent="0.3"/>
    <row r="8" spans="2:11" s="4" customFormat="1" ht="14" x14ac:dyDescent="0.3"/>
    <row r="9" spans="2:11" s="4" customFormat="1" ht="14" x14ac:dyDescent="0.3"/>
    <row r="10" spans="2:11" s="4" customFormat="1" ht="14" x14ac:dyDescent="0.3"/>
    <row r="11" spans="2:11" s="4" customFormat="1" ht="14" x14ac:dyDescent="0.3"/>
    <row r="12" spans="2:11" s="4" customFormat="1" ht="14" x14ac:dyDescent="0.3"/>
    <row r="13" spans="2:11" s="4" customFormat="1" ht="14" x14ac:dyDescent="0.3"/>
    <row r="14" spans="2:11" s="4" customFormat="1" ht="14" x14ac:dyDescent="0.3"/>
    <row r="15" spans="2:11" s="4" customFormat="1" ht="14" x14ac:dyDescent="0.3"/>
    <row r="16" spans="2:11" s="4" customFormat="1" ht="14" x14ac:dyDescent="0.3"/>
    <row r="17" spans="2:11" s="4" customFormat="1" ht="14" x14ac:dyDescent="0.3"/>
    <row r="18" spans="2:11" s="4" customFormat="1" ht="14" x14ac:dyDescent="0.3"/>
    <row r="19" spans="2:11" s="4" customFormat="1" ht="14" x14ac:dyDescent="0.3"/>
    <row r="20" spans="2:11" s="4" customFormat="1" ht="14" x14ac:dyDescent="0.3"/>
    <row r="21" spans="2:11" s="4" customFormat="1" ht="14" x14ac:dyDescent="0.3"/>
    <row r="22" spans="2:11" s="7" customFormat="1" ht="32.15" customHeight="1" x14ac:dyDescent="0.35">
      <c r="B22" s="377" t="s">
        <v>403</v>
      </c>
      <c r="C22" s="377"/>
      <c r="D22" s="377"/>
      <c r="E22" s="377"/>
      <c r="F22" s="377"/>
      <c r="G22" s="377"/>
      <c r="H22" s="377"/>
      <c r="I22" s="377"/>
      <c r="J22" s="377"/>
      <c r="K22" s="377"/>
    </row>
    <row r="23" spans="2:11" x14ac:dyDescent="0.35">
      <c r="B23" s="22"/>
    </row>
    <row r="24" spans="2:11" s="23" customFormat="1" ht="72.5" x14ac:dyDescent="0.35">
      <c r="B24" s="70" t="s">
        <v>77</v>
      </c>
      <c r="C24" s="89" t="s">
        <v>404</v>
      </c>
      <c r="D24" s="89" t="s">
        <v>405</v>
      </c>
      <c r="E24" s="89" t="s">
        <v>406</v>
      </c>
      <c r="F24" s="89" t="s">
        <v>407</v>
      </c>
      <c r="G24" s="89" t="s">
        <v>408</v>
      </c>
      <c r="I24"/>
      <c r="J24"/>
      <c r="K24"/>
    </row>
    <row r="25" spans="2:11" x14ac:dyDescent="0.35">
      <c r="B25" s="71" t="s">
        <v>409</v>
      </c>
      <c r="C25"/>
      <c r="D25"/>
      <c r="E25"/>
      <c r="F25">
        <v>0</v>
      </c>
      <c r="G25"/>
      <c r="I25"/>
      <c r="J25"/>
      <c r="K25"/>
    </row>
    <row r="26" spans="2:11" x14ac:dyDescent="0.35">
      <c r="B26" s="71" t="s">
        <v>102</v>
      </c>
      <c r="C26">
        <v>10</v>
      </c>
      <c r="D26">
        <v>10000</v>
      </c>
      <c r="E26"/>
      <c r="F26">
        <v>1568.1</v>
      </c>
      <c r="G26"/>
      <c r="I26"/>
      <c r="J26"/>
      <c r="K26"/>
    </row>
    <row r="27" spans="2:11" x14ac:dyDescent="0.35">
      <c r="B27" s="71" t="s">
        <v>175</v>
      </c>
      <c r="C27" s="90">
        <v>10</v>
      </c>
      <c r="D27" s="90">
        <v>10000</v>
      </c>
      <c r="E27" s="90"/>
      <c r="F27" s="91">
        <v>1568.1</v>
      </c>
      <c r="G27" s="91"/>
      <c r="I27"/>
      <c r="J27"/>
      <c r="K27"/>
    </row>
    <row r="28" spans="2:11" x14ac:dyDescent="0.35">
      <c r="B28"/>
      <c r="C28"/>
      <c r="D28"/>
      <c r="E28"/>
      <c r="F28"/>
      <c r="G28"/>
      <c r="I28"/>
      <c r="J28"/>
      <c r="K28"/>
    </row>
    <row r="29" spans="2:11" x14ac:dyDescent="0.35">
      <c r="B29" s="71"/>
      <c r="C29" s="90"/>
      <c r="D29" s="90"/>
      <c r="E29" s="90"/>
      <c r="F29" s="91"/>
      <c r="G29" s="91"/>
      <c r="I29"/>
      <c r="J29"/>
      <c r="K29"/>
    </row>
    <row r="30" spans="2:11" x14ac:dyDescent="0.35">
      <c r="B30" s="71"/>
      <c r="C30" s="90"/>
      <c r="D30" s="90"/>
      <c r="E30" s="90"/>
      <c r="F30" s="91"/>
      <c r="G30" s="91"/>
      <c r="I30"/>
      <c r="J30"/>
      <c r="K30"/>
    </row>
    <row r="31" spans="2:11" ht="16.149999999999999" customHeight="1" x14ac:dyDescent="0.35">
      <c r="B31" s="381"/>
      <c r="C31" s="382"/>
      <c r="D31" s="382"/>
      <c r="E31" s="382"/>
      <c r="F31" s="382"/>
      <c r="G31" s="382"/>
      <c r="I31"/>
      <c r="J31"/>
      <c r="K31"/>
    </row>
    <row r="32" spans="2:11" ht="18" x14ac:dyDescent="0.35">
      <c r="B32" s="377" t="s">
        <v>410</v>
      </c>
      <c r="C32" s="377"/>
      <c r="D32" s="377"/>
      <c r="E32" s="377"/>
      <c r="F32" s="377"/>
      <c r="G32" s="377"/>
      <c r="H32" s="377"/>
      <c r="I32" s="377"/>
      <c r="J32" s="377"/>
      <c r="K32" s="377"/>
    </row>
    <row r="33" spans="2:11" x14ac:dyDescent="0.35">
      <c r="B33" s="22"/>
      <c r="C33" s="22"/>
      <c r="D33" s="22"/>
      <c r="E33" s="22"/>
      <c r="F33" s="22"/>
      <c r="I33"/>
      <c r="J33"/>
      <c r="K33"/>
    </row>
    <row r="34" spans="2:11" ht="72.5" x14ac:dyDescent="0.35">
      <c r="B34" s="92" t="s">
        <v>411</v>
      </c>
      <c r="C34" s="89" t="s">
        <v>404</v>
      </c>
      <c r="D34" s="89" t="s">
        <v>405</v>
      </c>
      <c r="E34" s="89" t="s">
        <v>406</v>
      </c>
      <c r="F34" s="89" t="s">
        <v>407</v>
      </c>
      <c r="G34" s="89" t="s">
        <v>408</v>
      </c>
      <c r="I34"/>
      <c r="J34"/>
      <c r="K34"/>
    </row>
    <row r="35" spans="2:11" x14ac:dyDescent="0.35">
      <c r="B35" s="71" t="s">
        <v>409</v>
      </c>
      <c r="C35" s="90"/>
      <c r="D35" s="90"/>
      <c r="E35" s="90"/>
      <c r="F35" s="91">
        <v>0</v>
      </c>
      <c r="G35" s="91"/>
      <c r="I35"/>
      <c r="J35"/>
      <c r="K35"/>
    </row>
    <row r="36" spans="2:11" x14ac:dyDescent="0.35">
      <c r="B36" s="71" t="s">
        <v>73</v>
      </c>
      <c r="C36" s="90">
        <v>10</v>
      </c>
      <c r="D36" s="90">
        <v>10000</v>
      </c>
      <c r="E36" s="90"/>
      <c r="F36" s="91">
        <v>1568.1</v>
      </c>
      <c r="G36" s="91"/>
      <c r="I36"/>
      <c r="J36"/>
      <c r="K36"/>
    </row>
    <row r="37" spans="2:11" s="7" customFormat="1" ht="18" x14ac:dyDescent="0.35">
      <c r="B37" s="71" t="s">
        <v>175</v>
      </c>
      <c r="C37" s="90">
        <v>10</v>
      </c>
      <c r="D37" s="90">
        <v>10000</v>
      </c>
      <c r="E37" s="90"/>
      <c r="F37" s="91">
        <v>1568.1</v>
      </c>
      <c r="G37" s="91"/>
      <c r="I37"/>
      <c r="J37"/>
      <c r="K37"/>
    </row>
    <row r="38" spans="2:11" x14ac:dyDescent="0.35">
      <c r="B38"/>
      <c r="C38"/>
      <c r="D38"/>
      <c r="E38"/>
      <c r="F38"/>
      <c r="G38"/>
      <c r="I38"/>
      <c r="J38"/>
      <c r="K38"/>
    </row>
    <row r="39" spans="2:11" x14ac:dyDescent="0.35">
      <c r="B39"/>
      <c r="C39"/>
      <c r="D39"/>
      <c r="E39"/>
      <c r="F39"/>
      <c r="I39"/>
      <c r="J39"/>
      <c r="K39"/>
    </row>
    <row r="40" spans="2:11" x14ac:dyDescent="0.35">
      <c r="B40"/>
      <c r="C40"/>
      <c r="D40"/>
      <c r="E40"/>
      <c r="F40"/>
      <c r="I40"/>
      <c r="J40"/>
      <c r="K40"/>
    </row>
    <row r="41" spans="2:11" x14ac:dyDescent="0.35">
      <c r="B41"/>
      <c r="C41"/>
      <c r="D41"/>
      <c r="E41"/>
      <c r="F41"/>
      <c r="I41"/>
      <c r="J41"/>
      <c r="K41"/>
    </row>
    <row r="42" spans="2:11" x14ac:dyDescent="0.35">
      <c r="B42"/>
      <c r="C42"/>
      <c r="D42"/>
      <c r="E42"/>
      <c r="F42"/>
      <c r="I42"/>
      <c r="J42"/>
      <c r="K42"/>
    </row>
    <row r="43" spans="2:11" x14ac:dyDescent="0.35">
      <c r="B43"/>
      <c r="C43"/>
      <c r="D43"/>
      <c r="E43"/>
      <c r="F43"/>
      <c r="I43"/>
      <c r="J43"/>
      <c r="K43"/>
    </row>
    <row r="44" spans="2:11" x14ac:dyDescent="0.35">
      <c r="B44"/>
      <c r="C44"/>
      <c r="D44"/>
      <c r="E44" s="17"/>
      <c r="F44" s="17"/>
      <c r="I44"/>
      <c r="J44"/>
      <c r="K44"/>
    </row>
    <row r="45" spans="2:11" x14ac:dyDescent="0.35">
      <c r="B45"/>
      <c r="C45"/>
      <c r="D45"/>
      <c r="E45" s="17"/>
      <c r="F45" s="17"/>
    </row>
    <row r="46" spans="2:11" s="7" customFormat="1" ht="18" x14ac:dyDescent="0.35">
      <c r="B46"/>
      <c r="C46"/>
      <c r="D46"/>
    </row>
    <row r="47" spans="2:11" x14ac:dyDescent="0.35">
      <c r="B47"/>
      <c r="C47"/>
      <c r="D47"/>
      <c r="E47" s="17"/>
      <c r="F47" s="17"/>
    </row>
    <row r="48" spans="2:11" x14ac:dyDescent="0.35">
      <c r="B48"/>
      <c r="C48"/>
      <c r="D48"/>
      <c r="E48"/>
      <c r="F48"/>
    </row>
    <row r="49" spans="2:4" x14ac:dyDescent="0.35">
      <c r="B49"/>
      <c r="C49"/>
      <c r="D49"/>
    </row>
    <row r="50" spans="2:4" x14ac:dyDescent="0.35">
      <c r="B50"/>
      <c r="C50"/>
      <c r="D50"/>
    </row>
    <row r="51" spans="2:4" x14ac:dyDescent="0.35">
      <c r="B51"/>
      <c r="C51"/>
      <c r="D51"/>
    </row>
    <row r="52" spans="2:4" x14ac:dyDescent="0.35"/>
    <row r="53" spans="2:4" x14ac:dyDescent="0.35"/>
    <row r="54" spans="2:4" x14ac:dyDescent="0.35"/>
    <row r="55" spans="2:4" x14ac:dyDescent="0.35"/>
    <row r="56" spans="2:4" x14ac:dyDescent="0.35"/>
    <row r="57" spans="2:4" x14ac:dyDescent="0.35"/>
    <row r="58" spans="2:4" x14ac:dyDescent="0.35"/>
    <row r="59" spans="2:4" x14ac:dyDescent="0.35"/>
    <row r="60" spans="2:4" x14ac:dyDescent="0.35"/>
    <row r="61" spans="2:4" x14ac:dyDescent="0.35"/>
    <row r="62" spans="2:4" x14ac:dyDescent="0.35"/>
    <row r="63" spans="2:4" x14ac:dyDescent="0.35"/>
    <row r="64" spans="2:4" x14ac:dyDescent="0.35"/>
    <row r="65" x14ac:dyDescent="0.35"/>
    <row r="66" x14ac:dyDescent="0.35"/>
    <row r="67" x14ac:dyDescent="0.35"/>
  </sheetData>
  <sheetProtection selectLockedCells="1" autoFilter="0"/>
  <mergeCells count="6">
    <mergeCell ref="B32:F32"/>
    <mergeCell ref="B2:D2"/>
    <mergeCell ref="B22:K22"/>
    <mergeCell ref="G32:K32"/>
    <mergeCell ref="B31:G31"/>
    <mergeCell ref="B4:K4"/>
  </mergeCell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5CF1-5EC6-43B4-BDDB-87A31B41BA08}">
  <sheetPr codeName="Sheet6"/>
  <dimension ref="A1:BF18"/>
  <sheetViews>
    <sheetView topLeftCell="B1" zoomScale="55" zoomScaleNormal="55" workbookViewId="0">
      <selection activeCell="I13" sqref="I13"/>
    </sheetView>
  </sheetViews>
  <sheetFormatPr defaultRowHeight="14.5" x14ac:dyDescent="0.35"/>
  <cols>
    <col min="1" max="1" width="15.26953125" bestFit="1" customWidth="1"/>
    <col min="2" max="2" width="36" bestFit="1" customWidth="1"/>
    <col min="3" max="3" width="6.26953125" customWidth="1"/>
    <col min="4" max="4" width="15.26953125" bestFit="1" customWidth="1"/>
    <col min="5" max="5" width="18.453125" bestFit="1" customWidth="1"/>
    <col min="7" max="7" width="15.26953125" bestFit="1" customWidth="1"/>
    <col min="8" max="8" width="50.81640625" bestFit="1" customWidth="1"/>
    <col min="9" max="9" width="39.1796875" bestFit="1" customWidth="1"/>
    <col min="10" max="10" width="32.453125" bestFit="1" customWidth="1"/>
    <col min="11" max="11" width="36.81640625" bestFit="1" customWidth="1"/>
    <col min="12" max="12" width="37.26953125" bestFit="1" customWidth="1"/>
    <col min="13" max="13" width="48.26953125" customWidth="1"/>
    <col min="14" max="14" width="32" bestFit="1" customWidth="1"/>
    <col min="15" max="15" width="40.81640625" bestFit="1" customWidth="1"/>
    <col min="16" max="16" width="43.26953125" bestFit="1" customWidth="1"/>
    <col min="19" max="19" width="39.1796875" bestFit="1" customWidth="1"/>
    <col min="20" max="20" width="41" bestFit="1" customWidth="1"/>
    <col min="22" max="22" width="32" bestFit="1" customWidth="1"/>
    <col min="23" max="23" width="40.81640625" bestFit="1" customWidth="1"/>
    <col min="24" max="24" width="43.26953125" bestFit="1" customWidth="1"/>
    <col min="27" max="27" width="14.453125" bestFit="1" customWidth="1"/>
    <col min="28" max="28" width="39.1796875" bestFit="1" customWidth="1"/>
    <col min="29" max="30" width="41" customWidth="1"/>
    <col min="32" max="32" width="14.453125" bestFit="1" customWidth="1"/>
    <col min="33" max="33" width="32" bestFit="1" customWidth="1"/>
    <col min="34" max="34" width="40.81640625" bestFit="1" customWidth="1"/>
    <col min="37" max="37" width="14.453125" bestFit="1" customWidth="1"/>
    <col min="38" max="38" width="52.453125" bestFit="1" customWidth="1"/>
    <col min="40" max="40" width="18.453125" bestFit="1" customWidth="1"/>
    <col min="41" max="41" width="52.453125" bestFit="1" customWidth="1"/>
    <col min="43" max="43" width="16.7265625" bestFit="1" customWidth="1"/>
    <col min="44" max="44" width="52.453125" bestFit="1" customWidth="1"/>
    <col min="49" max="49" width="14.453125" bestFit="1" customWidth="1"/>
    <col min="50" max="50" width="24.1796875" bestFit="1" customWidth="1"/>
    <col min="51" max="51" width="36" bestFit="1" customWidth="1"/>
    <col min="53" max="53" width="24.1796875" bestFit="1" customWidth="1"/>
    <col min="54" max="54" width="36" bestFit="1" customWidth="1"/>
    <col min="55" max="55" width="38.453125" bestFit="1" customWidth="1"/>
    <col min="57" max="57" width="24.1796875" bestFit="1" customWidth="1"/>
    <col min="58" max="58" width="36" bestFit="1" customWidth="1"/>
    <col min="59" max="59" width="38.453125" bestFit="1" customWidth="1"/>
  </cols>
  <sheetData>
    <row r="1" spans="1:58" x14ac:dyDescent="0.35">
      <c r="G1" s="70" t="s">
        <v>95</v>
      </c>
      <c r="H1" t="s">
        <v>412</v>
      </c>
      <c r="I1" t="s">
        <v>413</v>
      </c>
      <c r="J1" t="s">
        <v>414</v>
      </c>
      <c r="K1" s="88" t="s">
        <v>415</v>
      </c>
      <c r="L1" s="88" t="s">
        <v>416</v>
      </c>
      <c r="N1" t="s">
        <v>417</v>
      </c>
      <c r="O1" t="s">
        <v>418</v>
      </c>
      <c r="S1" t="s">
        <v>413</v>
      </c>
      <c r="V1" t="s">
        <v>417</v>
      </c>
      <c r="W1" t="s">
        <v>418</v>
      </c>
      <c r="AA1" s="70" t="s">
        <v>95</v>
      </c>
      <c r="AB1" t="s">
        <v>413</v>
      </c>
      <c r="AF1" s="70" t="s">
        <v>95</v>
      </c>
      <c r="AG1" t="s">
        <v>417</v>
      </c>
      <c r="AH1" t="s">
        <v>418</v>
      </c>
      <c r="AK1" s="70" t="s">
        <v>95</v>
      </c>
      <c r="AN1" s="70" t="s">
        <v>95</v>
      </c>
      <c r="AQ1" s="79"/>
      <c r="AR1" s="80"/>
      <c r="AS1" s="81"/>
      <c r="AW1" s="70" t="s">
        <v>95</v>
      </c>
      <c r="AX1" t="s">
        <v>419</v>
      </c>
      <c r="AY1" t="s">
        <v>416</v>
      </c>
      <c r="BA1" t="s">
        <v>419</v>
      </c>
      <c r="BB1" t="s">
        <v>416</v>
      </c>
      <c r="BE1" t="s">
        <v>419</v>
      </c>
      <c r="BF1" t="s">
        <v>416</v>
      </c>
    </row>
    <row r="2" spans="1:58" x14ac:dyDescent="0.35">
      <c r="G2" s="71" t="s">
        <v>409</v>
      </c>
      <c r="K2" s="88">
        <v>0</v>
      </c>
      <c r="L2" s="88"/>
      <c r="N2">
        <v>10000</v>
      </c>
      <c r="O2">
        <v>10</v>
      </c>
      <c r="S2">
        <v>10000</v>
      </c>
      <c r="V2">
        <v>10000</v>
      </c>
      <c r="W2">
        <v>10</v>
      </c>
      <c r="AA2" s="71" t="s">
        <v>175</v>
      </c>
      <c r="AF2" s="71" t="s">
        <v>175</v>
      </c>
      <c r="AK2" s="71" t="s">
        <v>175</v>
      </c>
      <c r="AN2" s="71" t="s">
        <v>73</v>
      </c>
      <c r="AQ2" s="82"/>
      <c r="AR2" s="83"/>
      <c r="AS2" s="84"/>
      <c r="AW2" s="71" t="s">
        <v>175</v>
      </c>
      <c r="BA2">
        <v>1568.1</v>
      </c>
      <c r="BE2">
        <v>1568.1</v>
      </c>
    </row>
    <row r="3" spans="1:58" x14ac:dyDescent="0.35">
      <c r="A3" s="70" t="s">
        <v>95</v>
      </c>
      <c r="D3" s="70" t="s">
        <v>95</v>
      </c>
      <c r="G3" s="71" t="s">
        <v>102</v>
      </c>
      <c r="H3">
        <v>10</v>
      </c>
      <c r="I3">
        <v>10000</v>
      </c>
      <c r="K3" s="88">
        <v>1568.1</v>
      </c>
      <c r="L3" s="88"/>
      <c r="AN3" s="71" t="s">
        <v>175</v>
      </c>
      <c r="AQ3" s="82"/>
      <c r="AR3" s="83"/>
      <c r="AS3" s="84"/>
    </row>
    <row r="4" spans="1:58" x14ac:dyDescent="0.35">
      <c r="A4" s="71" t="s">
        <v>420</v>
      </c>
      <c r="D4" s="71" t="s">
        <v>420</v>
      </c>
      <c r="G4" s="71" t="s">
        <v>175</v>
      </c>
      <c r="H4">
        <v>10</v>
      </c>
      <c r="I4">
        <v>10000</v>
      </c>
      <c r="K4" s="88">
        <v>1568.1</v>
      </c>
      <c r="L4" s="88"/>
      <c r="AQ4" s="82"/>
      <c r="AR4" s="83"/>
      <c r="AS4" s="84"/>
    </row>
    <row r="5" spans="1:58" x14ac:dyDescent="0.35">
      <c r="A5" s="71" t="s">
        <v>409</v>
      </c>
      <c r="D5" s="71" t="s">
        <v>409</v>
      </c>
      <c r="AQ5" s="82"/>
      <c r="AR5" s="83"/>
      <c r="AS5" s="84"/>
    </row>
    <row r="6" spans="1:58" x14ac:dyDescent="0.35">
      <c r="A6" s="71" t="s">
        <v>102</v>
      </c>
      <c r="D6" s="71" t="s">
        <v>102</v>
      </c>
      <c r="AQ6" s="82"/>
      <c r="AR6" s="83"/>
      <c r="AS6" s="84"/>
    </row>
    <row r="7" spans="1:58" x14ac:dyDescent="0.35">
      <c r="A7" s="71" t="s">
        <v>175</v>
      </c>
      <c r="D7" s="71" t="s">
        <v>175</v>
      </c>
      <c r="AQ7" s="82"/>
      <c r="AR7" s="83"/>
      <c r="AS7" s="84"/>
    </row>
    <row r="8" spans="1:58" x14ac:dyDescent="0.35">
      <c r="AQ8" s="82"/>
      <c r="AR8" s="83"/>
      <c r="AS8" s="84"/>
    </row>
    <row r="9" spans="1:58" x14ac:dyDescent="0.35">
      <c r="AQ9" s="82"/>
      <c r="AR9" s="83"/>
      <c r="AS9" s="84"/>
    </row>
    <row r="10" spans="1:58" x14ac:dyDescent="0.35">
      <c r="AQ10" s="82"/>
      <c r="AR10" s="83"/>
      <c r="AS10" s="84"/>
    </row>
    <row r="11" spans="1:58" x14ac:dyDescent="0.35">
      <c r="AQ11" s="82"/>
      <c r="AR11" s="83"/>
      <c r="AS11" s="84"/>
    </row>
    <row r="12" spans="1:58" x14ac:dyDescent="0.35">
      <c r="AQ12" s="82"/>
      <c r="AR12" s="83"/>
      <c r="AS12" s="84"/>
    </row>
    <row r="13" spans="1:58" x14ac:dyDescent="0.35">
      <c r="AQ13" s="82"/>
      <c r="AR13" s="83"/>
      <c r="AS13" s="84"/>
    </row>
    <row r="14" spans="1:58" x14ac:dyDescent="0.35">
      <c r="AQ14" s="82"/>
      <c r="AR14" s="83"/>
      <c r="AS14" s="84"/>
    </row>
    <row r="15" spans="1:58" x14ac:dyDescent="0.35">
      <c r="AQ15" s="82"/>
      <c r="AR15" s="83"/>
      <c r="AS15" s="84"/>
    </row>
    <row r="16" spans="1:58" x14ac:dyDescent="0.35">
      <c r="AQ16" s="82"/>
      <c r="AR16" s="83"/>
      <c r="AS16" s="84"/>
    </row>
    <row r="17" spans="43:45" x14ac:dyDescent="0.35">
      <c r="AQ17" s="82"/>
      <c r="AR17" s="83"/>
      <c r="AS17" s="84"/>
    </row>
    <row r="18" spans="43:45" x14ac:dyDescent="0.35">
      <c r="AQ18" s="85"/>
      <c r="AR18" s="86"/>
      <c r="AS18" s="8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4F133F4E92A43ADC2A07E0D0A2BB2" ma:contentTypeVersion="1" ma:contentTypeDescription="Create a new document." ma:contentTypeScope="" ma:versionID="4d720022b572aeaa5b4d5e9b39a079f0">
  <xsd:schema xmlns:xsd="http://www.w3.org/2001/XMLSchema" xmlns:xs="http://www.w3.org/2001/XMLSchema" xmlns:p="http://schemas.microsoft.com/office/2006/metadata/properties" xmlns:ns2="47662842-baba-4fe5-b081-84f4febdf3c4" xmlns:ns3="e56b6a4a-7e1f-40d8-b761-1262afd056fe" xmlns:ns4="48937296-2813-415a-8e42-38d0c3f36fa7" targetNamespace="http://schemas.microsoft.com/office/2006/metadata/properties" ma:root="true" ma:fieldsID="7eb9de5ce8d507694e4f04e4b7c35472" ns2:_="" ns3:_="" ns4:_="">
    <xsd:import namespace="47662842-baba-4fe5-b081-84f4febdf3c4"/>
    <xsd:import namespace="e56b6a4a-7e1f-40d8-b761-1262afd056fe"/>
    <xsd:import namespace="48937296-2813-415a-8e42-38d0c3f36fa7"/>
    <xsd:element name="properties">
      <xsd:complexType>
        <xsd:sequence>
          <xsd:element name="documentManagement">
            <xsd:complexType>
              <xsd:all>
                <xsd:element ref="ns2:DocDescription" minOccurs="0"/>
                <xsd:element ref="ns2:Sensitivity"/>
                <xsd:element ref="ns2:Confidentiality"/>
                <xsd:element ref="ns2:Criticality"/>
                <xsd:element ref="ns2:Tags"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662842-baba-4fe5-b081-84f4febdf3c4" elementFormDefault="qualified">
    <xsd:import namespace="http://schemas.microsoft.com/office/2006/documentManagement/types"/>
    <xsd:import namespace="http://schemas.microsoft.com/office/infopath/2007/PartnerControls"/>
    <xsd:element name="DocDescription" ma:index="8" nillable="true" ma:displayName="Description" ma:internalName="DocDescription">
      <xsd:simpleType>
        <xsd:restriction base="dms:Note">
          <xsd:maxLength value="255"/>
        </xsd:restriction>
      </xsd:simpleType>
    </xsd:element>
    <xsd:element name="Sensitivity" ma:index="9" ma:displayName="Sensitivity" ma:default="Not Sensitive" ma:description="Select the most appropriate Sensitivity Classification.&#10;&#10;&#10;&#10;For 'Not Sensitive' information, use 'General Use' Confidentiality&#10;&#10;For 'BC Hydro Business Interests' or 'BC Hydro Third Party Business Interest', use 'BC Hydro Internal Use' Confidentiality&#10;&#10;For information protected by 'Standards of Conduct, Personal Information Legally Privileged, or Physical Security Documentation', use 'BC Hydro Confidential' Confidentiality&#10;&#10;Under direction of an executive team member, use 'BC Hydro Confidential and Very Sensitive' Confidentiality for BC Hydro Confidential information" ma:format="Dropdown" ma:internalName="Sensitivity">
      <xsd:simpleType>
        <xsd:restriction base="dms:Choice">
          <xsd:enumeration value="Not Sensitive"/>
          <xsd:enumeration value="BC Hydro Business Interests"/>
          <xsd:enumeration value="BC Hydro Third Party Business Interests"/>
          <xsd:enumeration value="Standards of Conduct"/>
          <xsd:enumeration value="Personal Information"/>
          <xsd:enumeration value="Legally Privileged"/>
        </xsd:restriction>
      </xsd:simpleType>
    </xsd:element>
    <xsd:element name="Confidentiality" ma:index="10" ma:displayName="Confidentiality" ma:default="General Use" ma:description="" ma:format="Dropdown" ma:internalName="Confidentiality">
      <xsd:simpleType>
        <xsd:restriction base="dms:Choice">
          <xsd:enumeration value="General Use"/>
          <xsd:enumeration value="BC Hydro Internal Use"/>
          <xsd:enumeration value="BC Hydro Confidential"/>
          <xsd:enumeration value="BC Hydro Confidential and Very Sensitive"/>
        </xsd:restriction>
      </xsd:simpleType>
    </xsd:element>
    <xsd:element name="Criticality" ma:index="11" ma:displayName="Criticality" ma:default="Not Critical" ma:description="Is this information critical to the operations of BC Hydro.  This decision should be based on a risk assessment." ma:format="Dropdown" ma:internalName="Criticality">
      <xsd:simpleType>
        <xsd:restriction base="dms:Choice">
          <xsd:enumeration value="Not Critical"/>
          <xsd:enumeration value="Critical"/>
        </xsd:restriction>
      </xsd:simpleType>
    </xsd:element>
    <xsd:element name="Tags" ma:index="12" nillable="true" ma:displayName="Tags" ma:description="Enter key word(s)" ma:internalName="Tag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6b6a4a-7e1f-40d8-b761-1262afd056f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937296-2813-415a-8e42-38d0c3f36fa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T a b l e X M L _ R a n g e " > < C u s t o m C o n t e n t > < ! [ C D A T A [ < T a b l e W i d g e t G r i d S e r i a l i z a t i o n   x m l n s : x s i = " h t t p : / / w w w . w 3 . o r g / 2 0 0 1 / X M L S c h e m a - i n s t a n c e "   x m l n s : x s d = " h t t p : / / w w w . w 3 . o r g / 2 0 0 1 / X M L S c h e m a " > < C o l u m n S u g g e s t e d T y p e   / > < C o l u m n F o r m a t   / > < C o l u m n A c c u r a c y   / > < C o l u m n C u r r e n c y S y m b o l   / > < C o l u m n P o s i t i v e P a t t e r n   / > < C o l u m n N e g a t i v e P a t t e r n   / > < C o l u m n W i d t h s > < i t e m > < k e y > < s t r i n g > E n d   U s e < / s t r i n g > < / k e y > < v a l u e > < i n t > 8 7 < / i n t > < / v a l u e > < / i t e m > < i t e m > < k e y > < s t r i n g > E n e r g y   E n d - U s e   ( Y e s / N o ) < / s t r i n g > < / k e y > < v a l u e > < i n t > 1 9 5 < / i n t > < / v a l u e > < / i t e m > < i t e m > < k e y > < s t r i n g > E n d   U s e   k W < / s t r i n g > < / k e y > < v a l u e > < i n t > 1 1 1 < / i n t > < / v a l u e > < / i t e m > < i t e m > < k e y > < s t r i n g > O p e r a t i n g   h o u r s     ( h / y ) < / s t r i n g > < / k e y > < v a l u e > < i n t > 1 7 4 < / i n t > < / v a l u e > < / i t e m > < i t e m > < k e y > < s t r i n g > A n n u a l   C o n s u m p t i o n     ( k W h / y ) < / s t r i n g > < / k e y > < v a l u e > < i n t > 2 2 2 < / i n t > < / v a l u e > < / i t e m > < i t e m > < k e y > < s t r i n g > E s t .   o f   %   C o n t r i b u t i o n   t o   A v g   A n n u a l   P e a k   D e m a n d < / s t r i n g > < / k e y > < v a l u e > < i n t > 3 5 4 < / i n t > < / v a l u e > < / i t e m > < i t e m > < k e y > < s t r i n g > %   E n e r g y   C o n s u m p t i o n < / s t r i n g > < / k e y > < v a l u e > < i n t > 1 8 2 < / i n t > < / v a l u e > < / i t e m > < / C o l u m n W i d t h s > < C o l u m n D i s p l a y I n d e x > < i t e m > < k e y > < s t r i n g > E n d   U s e < / s t r i n g > < / k e y > < v a l u e > < i n t > 0 < / i n t > < / v a l u e > < / i t e m > < i t e m > < k e y > < s t r i n g > E n e r g y   E n d - U s e   ( Y e s / N o ) < / s t r i n g > < / k e y > < v a l u e > < i n t > 1 < / i n t > < / v a l u e > < / i t e m > < i t e m > < k e y > < s t r i n g > E n d   U s e   k W < / s t r i n g > < / k e y > < v a l u e > < i n t > 2 < / i n t > < / v a l u e > < / i t e m > < i t e m > < k e y > < s t r i n g > O p e r a t i n g   h o u r s     ( h / y ) < / s t r i n g > < / k e y > < v a l u e > < i n t > 3 < / i n t > < / v a l u e > < / i t e m > < i t e m > < k e y > < s t r i n g > A n n u a l   C o n s u m p t i o n     ( k W h / y ) < / s t r i n g > < / k e y > < v a l u e > < i n t > 4 < / i n t > < / v a l u e > < / i t e m > < i t e m > < k e y > < s t r i n g > E s t .   o f   %   C o n t r i b u t i o n   t o   A v g   A n n u a l   P e a k   D e m a n d < / s t r i n g > < / k e y > < v a l u e > < i n t > 5 < / i n t > < / v a l u e > < / i t e m > < i t e m > < k e y > < s t r i n g > %   E n e r g y   C o n s u m p t i o n < / s t r i n g > < / k e y > < v a l u e > < i n t > 6 < / i n t > < / v a l u e > < / i t e m > < / C o l u m n D i s p l a y I n d e x > < C o l u m n F r o z e n   / > < C o l u m n C h e c k e d   / > < C o l u m n F i l t e r   / > < S e l e c t i o n F i l t e r   / > < F i l t e r P a r a m e t e r s   / > < I s S o r t D e s c e n d i n g > f a l s e < / I s S o r t D e s c e n d i n g > < / T a b l e W i d g e t G r i d S e r i a l i z a t i o n > ] ] > < / 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F o r m u l a B a r S t a t e " > < C u s t o m C o n t e n t > < ! [ C D A T A [ < S a n d b o x E d i t o r . F o r m u l a B a r S t a t e   x m l n s = " h t t p : / / s c h e m a s . d a t a c o n t r a c t . o r g / 2 0 0 4 / 0 7 / M i c r o s o f t . A n a l y s i s S e r v i c e s . C o m m o n "   x m l n s : i = " h t t p : / / w w w . w 3 . o r g / 2 0 0 1 / X M L S c h e m a - i n s t a n c e " > < H e i g h t > 2 0 < / H e i g h t > < / S a n d b o x E d i t o r . F o r m u l a B a r S t a t e > ] ] > < / C u s t o m C o n t e n t > < / G e m i n i > 
</file>

<file path=customXml/item5.xml><?xml version="1.0" encoding="utf-8"?>
<p:properties xmlns:p="http://schemas.microsoft.com/office/2006/metadata/properties" xmlns:xsi="http://www.w3.org/2001/XMLSchema-instance" xmlns:pc="http://schemas.microsoft.com/office/infopath/2007/PartnerControls">
  <documentManagement>
    <Confidentiality xmlns="47662842-baba-4fe5-b081-84f4febdf3c4">General Use</Confidentiality>
    <Criticality xmlns="47662842-baba-4fe5-b081-84f4febdf3c4">Not Critical</Criticality>
    <DocDescription xmlns="47662842-baba-4fe5-b081-84f4febdf3c4" xsi:nil="true"/>
    <Tags xmlns="47662842-baba-4fe5-b081-84f4febdf3c4" xsi:nil="true"/>
    <Sensitivity xmlns="47662842-baba-4fe5-b081-84f4febdf3c4">Not Sensitive</Sensitivity>
    <_dlc_DocId xmlns="e56b6a4a-7e1f-40d8-b761-1262afd056fe">MX4HM2KYMURQ-1039129228-164</_dlc_DocId>
    <_dlc_DocIdUrl xmlns="e56b6a4a-7e1f-40d8-b761-1262afd056fe">
      <Url>https://hydroshare.bchydro.bc.ca/Workgroup/PowerSmartEngineering/_layouts/15/DocIdRedir.aspx?ID=MX4HM2KYMURQ-1039129228-164</Url>
      <Description>MX4HM2KYMURQ-1039129228-164</Description>
    </_dlc_DocIdUrl>
  </documentManagement>
</p:properties>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 R a n g e 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 R a n g e 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 C o l u m n s \ E n d   U s e < / K e y > < / a : K e y > < a : V a l u e   i : t y p e = " T a b l e W i d g e t B a s e V i e w S t a t e " / > < / a : K e y V a l u e O f D i a g r a m O b j e c t K e y a n y T y p e z b w N T n L X > < a : K e y V a l u e O f D i a g r a m O b j e c t K e y a n y T y p e z b w N T n L X > < a : K e y > < K e y > C o l u m n s \ E n e r g y   E n d - U s e   ( Y e s / N o ) < / K e y > < / a : K e y > < a : V a l u e   i : t y p e = " T a b l e W i d g e t B a s e V i e w S t a t e " / > < / a : K e y V a l u e O f D i a g r a m O b j e c t K e y a n y T y p e z b w N T n L X > < a : K e y V a l u e O f D i a g r a m O b j e c t K e y a n y T y p e z b w N T n L X > < a : K e y > < K e y > C o l u m n s \ E n d   U s e   k W < / K e y > < / a : K e y > < a : V a l u e   i : t y p e = " T a b l e W i d g e t B a s e V i e w S t a t e " / > < / a : K e y V a l u e O f D i a g r a m O b j e c t K e y a n y T y p e z b w N T n L X > < a : K e y V a l u e O f D i a g r a m O b j e c t K e y a n y T y p e z b w N T n L X > < a : K e y > < K e y > C o l u m n s \ O p e r a t i n g   h o u r s     ( h / y ) < / K e y > < / a : K e y > < a : V a l u e   i : t y p e = " T a b l e W i d g e t B a s e V i e w S t a t e " / > < / a : K e y V a l u e O f D i a g r a m O b j e c t K e y a n y T y p e z b w N T n L X > < a : K e y V a l u e O f D i a g r a m O b j e c t K e y a n y T y p e z b w N T n L X > < a : K e y > < K e y > C o l u m n s \ A n n u a l   C o n s u m p t i o n     ( k W h / y ) < / K e y > < / a : K e y > < a : V a l u e   i : t y p e = " T a b l e W i d g e t B a s e V i e w S t a t e " / > < / a : K e y V a l u e O f D i a g r a m O b j e c t K e y a n y T y p e z b w N T n L X > < a : K e y V a l u e O f D i a g r a m O b j e c t K e y a n y T y p e z b w N T n L X > < a : K e y > < K e y > C o l u m n s \ E s t .   o f   %   C o n t r i b u t i o n   t o   A v g   A n n u a l   P e a k   D e m a n d < / K e y > < / a : K e y > < a : V a l u e   i : t y p e = " T a b l e W i d g e t B a s e V i e w S t a t e " / > < / a : K e y V a l u e O f D i a g r a m O b j e c t K e y a n y T y p e z b w N T n L X > < a : K e y V a l u e O f D i a g r a m O b j e c t K e y a n y T y p e z b w N T n L X > < a : K e y > < K e y > C o l u m n s \ %   E n e r g y   C o n s u m p t i o n 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3C240C-AC92-4204-8159-B7CF19B79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662842-baba-4fe5-b081-84f4febdf3c4"/>
    <ds:schemaRef ds:uri="e56b6a4a-7e1f-40d8-b761-1262afd056fe"/>
    <ds:schemaRef ds:uri="48937296-2813-415a-8e42-38d0c3f36f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ED32BC-1BD1-4D56-9C15-569C5967725F}">
  <ds:schemaRefs>
    <ds:schemaRef ds:uri="http://gemini/pivotcustomization/TableXML_Range"/>
  </ds:schemaRefs>
</ds:datastoreItem>
</file>

<file path=customXml/itemProps3.xml><?xml version="1.0" encoding="utf-8"?>
<ds:datastoreItem xmlns:ds="http://schemas.openxmlformats.org/officeDocument/2006/customXml" ds:itemID="{A34064D8-CBAF-408E-BE81-E83BD756E43E}">
  <ds:schemaRefs>
    <ds:schemaRef ds:uri="http://schemas.microsoft.com/sharepoint/v3/contenttype/forms"/>
  </ds:schemaRefs>
</ds:datastoreItem>
</file>

<file path=customXml/itemProps4.xml><?xml version="1.0" encoding="utf-8"?>
<ds:datastoreItem xmlns:ds="http://schemas.openxmlformats.org/officeDocument/2006/customXml" ds:itemID="{31690A21-358A-4D24-969D-B0D7338BEF01}">
  <ds:schemaRefs>
    <ds:schemaRef ds:uri="http://gemini/pivotcustomization/FormulaBarState"/>
  </ds:schemaRefs>
</ds:datastoreItem>
</file>

<file path=customXml/itemProps5.xml><?xml version="1.0" encoding="utf-8"?>
<ds:datastoreItem xmlns:ds="http://schemas.openxmlformats.org/officeDocument/2006/customXml" ds:itemID="{3869A328-6B7D-47C4-8414-C91428D2213B}">
  <ds:schemaRefs>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8937296-2813-415a-8e42-38d0c3f36fa7"/>
    <ds:schemaRef ds:uri="e56b6a4a-7e1f-40d8-b761-1262afd056fe"/>
    <ds:schemaRef ds:uri="47662842-baba-4fe5-b081-84f4febdf3c4"/>
  </ds:schemaRefs>
</ds:datastoreItem>
</file>

<file path=customXml/itemProps6.xml><?xml version="1.0" encoding="utf-8"?>
<ds:datastoreItem xmlns:ds="http://schemas.openxmlformats.org/officeDocument/2006/customXml" ds:itemID="{75D6D3DA-D58D-454C-B29E-DCAAA03333F8}">
  <ds:schemaRefs>
    <ds:schemaRef ds:uri="http://gemini/pivotcustomization/TableWidget"/>
  </ds:schemaRefs>
</ds:datastoreItem>
</file>

<file path=customXml/itemProps7.xml><?xml version="1.0" encoding="utf-8"?>
<ds:datastoreItem xmlns:ds="http://schemas.openxmlformats.org/officeDocument/2006/customXml" ds:itemID="{4C274380-47CB-476B-95F9-25ECADB1D06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29</vt:i4>
      </vt:variant>
    </vt:vector>
  </HeadingPairs>
  <TitlesOfParts>
    <vt:vector size="41" baseType="lpstr">
      <vt:lpstr>Instructions</vt:lpstr>
      <vt:lpstr>Basic Info</vt:lpstr>
      <vt:lpstr>Opportunity Register</vt:lpstr>
      <vt:lpstr>End Uses XRM</vt:lpstr>
      <vt:lpstr>Sheet2</vt:lpstr>
      <vt:lpstr>Sheet1</vt:lpstr>
      <vt:lpstr>Dashboard</vt:lpstr>
      <vt:lpstr>Summary</vt:lpstr>
      <vt:lpstr>PivotTables</vt:lpstr>
      <vt:lpstr>Variables</vt:lpstr>
      <vt:lpstr>Prescriptive</vt:lpstr>
      <vt:lpstr>General Service Rates</vt:lpstr>
      <vt:lpstr>ApplSector</vt:lpstr>
      <vt:lpstr>Apply_through_EV_Charging_Rebate_Program</vt:lpstr>
      <vt:lpstr>Apply_through_Solar_and_Battery_Rebate_Program</vt:lpstr>
      <vt:lpstr>AuditScope</vt:lpstr>
      <vt:lpstr>Commercial</vt:lpstr>
      <vt:lpstr>Demand</vt:lpstr>
      <vt:lpstr>Demand_Reponse</vt:lpstr>
      <vt:lpstr>Demand_Response</vt:lpstr>
      <vt:lpstr>DemandResponse</vt:lpstr>
      <vt:lpstr>DG</vt:lpstr>
      <vt:lpstr>Distributedgeneration</vt:lpstr>
      <vt:lpstr>DR</vt:lpstr>
      <vt:lpstr>EE</vt:lpstr>
      <vt:lpstr>ENDUSE_DG</vt:lpstr>
      <vt:lpstr>ENDUSE_DR</vt:lpstr>
      <vt:lpstr>ENDUSE_EE</vt:lpstr>
      <vt:lpstr>ENDUSE_LCE</vt:lpstr>
      <vt:lpstr>Energyefficiency</vt:lpstr>
      <vt:lpstr>Feasibility_Study_of_Custom_Measure_to_Incentive_Application</vt:lpstr>
      <vt:lpstr>IndType</vt:lpstr>
      <vt:lpstr>Industrial</vt:lpstr>
      <vt:lpstr>LCE</vt:lpstr>
      <vt:lpstr>Lowcarbonelectrification</vt:lpstr>
      <vt:lpstr>Other</vt:lpstr>
      <vt:lpstr>Prescriptive_Workbook_to_Incentive_Application</vt:lpstr>
      <vt:lpstr>'Basic Info'!Print_Area</vt:lpstr>
      <vt:lpstr>Instructions!Print_Area</vt:lpstr>
      <vt:lpstr>'Opportunity Register'!Print_Area</vt:lpstr>
      <vt:lpstr>Sector</vt:lpstr>
    </vt:vector>
  </TitlesOfParts>
  <Manager/>
  <Company>BC Hydro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MURBRP Opportunity Assessment Workbook</dc:title>
  <dc:subject/>
  <dc:creator>Al-chalabi, Zaid</dc:creator>
  <cp:keywords/>
  <dc:description/>
  <cp:lastModifiedBy>Shen, Johnson</cp:lastModifiedBy>
  <cp:revision/>
  <cp:lastPrinted>2024-08-22T17:53:59Z</cp:lastPrinted>
  <dcterms:created xsi:type="dcterms:W3CDTF">2019-08-25T18:30:53Z</dcterms:created>
  <dcterms:modified xsi:type="dcterms:W3CDTF">2025-08-03T22:19:50Z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0x010100E5E4F133F4E92A43ADC2A07E0D0A2BB2</vt:lpwstr>
  </property>
  <property fmtid="{D5CDD505-2E9C-101B-9397-08002B2CF9AE}" pid="3" name="WorkflowChangePath">
    <vt:lpwstr>d8fe83fc-4883-4a89-9054-83295c885927,5;d8fe83fc-4883-4a89-9054-83295c885927,8;d8fe83fc-4883-4a89-9054-83295c885927,10;d8fe83fc-4883-4a89-9054-83295c885927,13;d8fe83fc-4883-4a89-9054-83295c885927,18;d8fe83fc-4883-4a89-9054-83295c885927,20;d8fe83fc-4883-4a89-9054-83295c885927,24;59bc10d2-2cde-4faf-886d-fa145bae1adf,8;59bc10d2-2cde-4faf-886d-fa145bae1adf,10;59bc10d2-2cde-4faf-886d-fa145bae1adf,12;</vt:lpwstr>
  </property>
  <property fmtid="{D5CDD505-2E9C-101B-9397-08002B2CF9AE}" pid="4" name="_dlc_DocIdItemGuid">
    <vt:lpwstr>caf019d7-f7d9-46b3-8168-328148e050c0</vt:lpwstr>
  </property>
  <property fmtid="{D5CDD505-2E9C-101B-9397-08002B2CF9AE}" pid="5" name="TaxKeyword">
    <vt:lpwstr/>
  </property>
  <property fmtid="{D5CDD505-2E9C-101B-9397-08002B2CF9AE}" pid="6" name="TaxCatchAll">
    <vt:lpwstr/>
  </property>
  <property fmtid="{D5CDD505-2E9C-101B-9397-08002B2CF9AE}" pid="7" name="TaxKeywordTaxHTField">
    <vt:lpwstr/>
  </property>
</Properties>
</file>